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67" activeTab="3"/>
  </bookViews>
  <sheets>
    <sheet name="ИБР" sheetId="1" r:id="rId1"/>
    <sheet name="ИНП" sheetId="2" r:id="rId2"/>
    <sheet name="Параметры модели" sheetId="3" r:id="rId3"/>
    <sheet name="Итоговая" sheetId="4" r:id="rId4"/>
  </sheets>
  <definedNames>
    <definedName name="_xlnm.Print_Titles" localSheetId="0">'ИБР'!$A:$A</definedName>
    <definedName name="_xlnm.Print_Titles" localSheetId="1">'ИНП'!$A:$A</definedName>
    <definedName name="_xlnm.Print_Titles" localSheetId="3">'Итоговая'!$B:$B</definedName>
  </definedNames>
  <calcPr fullCalcOnLoad="1"/>
</workbook>
</file>

<file path=xl/comments1.xml><?xml version="1.0" encoding="utf-8"?>
<comments xmlns="http://schemas.openxmlformats.org/spreadsheetml/2006/main">
  <authors>
    <author>Иванов Михаил</author>
  </authors>
  <commentList>
    <comment ref="B9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Статистики от 28.05.07 № 1457</t>
        </r>
      </text>
    </comment>
    <comment ref="E9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Мониторинга от 13.06.07 №356/07
</t>
        </r>
      </text>
    </comment>
    <comment ref="F9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Мониторинга от 13.06.07 №356/07
</t>
        </r>
      </text>
    </comment>
    <comment ref="K9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статистики от 8.06.07  б/н</t>
        </r>
      </text>
    </comment>
    <comment ref="O9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За 1 квартал 2007 года Письмо ДТиСЗ от 28.05.07 №11-01-2933/07</t>
        </r>
      </text>
    </comment>
    <comment ref="Q9" authorId="0">
      <text>
        <r>
          <rPr>
            <b/>
            <sz val="9"/>
            <rFont val="Tahoma"/>
            <family val="0"/>
          </rPr>
          <t>Гаина Ольга:</t>
        </r>
        <r>
          <rPr>
            <sz val="9"/>
            <rFont val="Tahoma"/>
            <family val="0"/>
          </rPr>
          <t xml:space="preserve">
Прогноз тарифов на 2009 год. Письмо Рег. Службы по тарифам №2222/08 от 26.08.08
</t>
        </r>
      </text>
    </comment>
    <comment ref="R9" authorId="0">
      <text>
        <r>
          <rPr>
            <b/>
            <sz val="9"/>
            <rFont val="Tahoma"/>
            <family val="0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0"/>
          </rPr>
          <t xml:space="preserve">
</t>
        </r>
      </text>
    </comment>
    <comment ref="S9" authorId="0">
      <text>
        <r>
          <rPr>
            <b/>
            <sz val="9"/>
            <rFont val="Tahoma"/>
            <family val="0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  <comment ref="B46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Статистики от 28.05.07 № 1457</t>
        </r>
      </text>
    </comment>
    <comment ref="E46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Мониторинга от 13.06.07 №356/07
</t>
        </r>
      </text>
    </comment>
    <comment ref="F46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Мониторинга от 13.06.07 №356/07
</t>
        </r>
      </text>
    </comment>
    <comment ref="K46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статистики от 8.06.07  б/н</t>
        </r>
      </text>
    </comment>
    <comment ref="O46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За 1 квартал 2007 года Письмо ДТиСЗ от 28.05.07 №11-01-2933/07</t>
        </r>
      </text>
    </comment>
    <comment ref="Q46" authorId="0">
      <text>
        <r>
          <rPr>
            <b/>
            <sz val="9"/>
            <rFont val="Tahoma"/>
            <family val="0"/>
          </rPr>
          <t>Гаина Ольга:</t>
        </r>
        <r>
          <rPr>
            <sz val="9"/>
            <rFont val="Tahoma"/>
            <family val="0"/>
          </rPr>
          <t xml:space="preserve">
Прогноз тарифов на 2009 год. Письмо Рег. Службы по тарифам №2222/08 от 26.08.08
</t>
        </r>
      </text>
    </comment>
    <comment ref="R46" authorId="0">
      <text>
        <r>
          <rPr>
            <b/>
            <sz val="9"/>
            <rFont val="Tahoma"/>
            <family val="0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0"/>
          </rPr>
          <t xml:space="preserve">
</t>
        </r>
      </text>
    </comment>
    <comment ref="S46" authorId="0">
      <text>
        <r>
          <rPr>
            <b/>
            <sz val="9"/>
            <rFont val="Tahoma"/>
            <family val="0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  <comment ref="B61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Статистики от 28.05.07 № 1457</t>
        </r>
      </text>
    </comment>
    <comment ref="E61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Мониторинга от 13.06.07 №356/07
</t>
        </r>
      </text>
    </comment>
    <comment ref="F61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Мониторинга от 13.06.07 №356/07
</t>
        </r>
      </text>
    </comment>
    <comment ref="K61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Письмо статистики от 8.06.07  б/н</t>
        </r>
      </text>
    </comment>
    <comment ref="O61" authorId="0">
      <text>
        <r>
          <rPr>
            <b/>
            <sz val="9"/>
            <rFont val="Tahoma"/>
            <family val="0"/>
          </rPr>
          <t>Иванов Михаил:</t>
        </r>
        <r>
          <rPr>
            <sz val="9"/>
            <rFont val="Tahoma"/>
            <family val="0"/>
          </rPr>
          <t xml:space="preserve">
За 1 квартал 2007 года Письмо ДТиСЗ от 28.05.07 №11-01-2933/07</t>
        </r>
      </text>
    </comment>
    <comment ref="Q61" authorId="0">
      <text>
        <r>
          <rPr>
            <b/>
            <sz val="9"/>
            <rFont val="Tahoma"/>
            <family val="0"/>
          </rPr>
          <t>Гаина Ольга:</t>
        </r>
        <r>
          <rPr>
            <sz val="9"/>
            <rFont val="Tahoma"/>
            <family val="0"/>
          </rPr>
          <t xml:space="preserve">
Прогноз тарифов на 2009 год. Письмо Рег. Службы по тарифам №2222/08 от 26.08.08
</t>
        </r>
      </text>
    </comment>
    <comment ref="R61" authorId="0">
      <text>
        <r>
          <rPr>
            <b/>
            <sz val="9"/>
            <rFont val="Tahoma"/>
            <family val="0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0"/>
          </rPr>
          <t xml:space="preserve">
</t>
        </r>
      </text>
    </comment>
    <comment ref="S61" authorId="0">
      <text>
        <r>
          <rPr>
            <b/>
            <sz val="9"/>
            <rFont val="Tahoma"/>
            <family val="0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</commentList>
</comments>
</file>

<file path=xl/sharedStrings.xml><?xml version="1.0" encoding="utf-8"?>
<sst xmlns="http://schemas.openxmlformats.org/spreadsheetml/2006/main" count="306" uniqueCount="105">
  <si>
    <t>Муниципальные образования</t>
  </si>
  <si>
    <t>Численность населения (чел.)</t>
  </si>
  <si>
    <t>Коэффициент дисперсности расселения</t>
  </si>
  <si>
    <t>Численность условных потребителей других бюджетных услуг</t>
  </si>
  <si>
    <t>ИБР</t>
  </si>
  <si>
    <t>ИНП</t>
  </si>
  <si>
    <t>Объем регионального фонда финансовой поддержки (тыс.руб.)</t>
  </si>
  <si>
    <t>Бюджетная обеспеченность после 1-го этапа распределения</t>
  </si>
  <si>
    <t>Трансферт 2-го этапа распределения РФФПМР(ГО) (тыс.руб.)</t>
  </si>
  <si>
    <t>Бюджетная обеспеченность после 2-го этапа распределения</t>
  </si>
  <si>
    <t>Доля средств, превышающая пороговый уровень, изымаемая в виде отрицательного трансферта (%)</t>
  </si>
  <si>
    <t>Объем регионального фонда финансовой поддержки не включая отрицательные трансферты (тыс.руб.)</t>
  </si>
  <si>
    <t>Ранг по БО (начиная с наименее обеспеченных)</t>
  </si>
  <si>
    <t>Уд.вес нас., прожив-го в сельск.насел.пунктах с чис-тью менее 500 чел. к общей чис-ти нас. муниц. образования(%)</t>
  </si>
  <si>
    <t>Доля сельского населения в общей чис-ти населения муниц. образования</t>
  </si>
  <si>
    <t>Тарифы на водоснабжение и водоотведение для бюджетных учреждений</t>
  </si>
  <si>
    <t>Тарифы на теплоснабжение для бюджетных учреждений</t>
  </si>
  <si>
    <t>Тарифы на электроэнергию для бюджетных учреждений</t>
  </si>
  <si>
    <t>Коэффициент стоимости предоставления коммунальных услуг для бюджетных учреждений</t>
  </si>
  <si>
    <t>Численность населения (тыс.чел.)</t>
  </si>
  <si>
    <t>Численность населения проживающего в сельск.насел.пунктах с численностью населения менее 500 чел. (чел.)</t>
  </si>
  <si>
    <t>Численность сельского населения (чел.)</t>
  </si>
  <si>
    <t>Налог на доходы физических лиц</t>
  </si>
  <si>
    <t xml:space="preserve">Доля финансовой помощи, распределяемая на 1-ом этапе исходя из численности жителей в расчете на одного жителя (%) </t>
  </si>
  <si>
    <t>Коэффициент урбанизации</t>
  </si>
  <si>
    <t>Доля городского населения в общей чис-ти населения муниц. образования</t>
  </si>
  <si>
    <t>Объем средств, распределяемых исходя из численности жителей</t>
  </si>
  <si>
    <t>Объем средств, распределяемых путем выравнивания БО</t>
  </si>
  <si>
    <t>Уровень расчетной бюджетной обеспеченности</t>
  </si>
  <si>
    <t>Расчетные налоговые доходы (тыс.руб.) в расчете на одного жителя (ПРД)</t>
  </si>
  <si>
    <t>Критерий выравнивания бюджетной обеспеченности</t>
  </si>
  <si>
    <t>Объем части дотаций, распределяемых исходя из численности жителей (тыс.руб.)</t>
  </si>
  <si>
    <t>Объем части дотаций, распределяемых исходя из уровня расчетной бюджетной обеспеченности (тыс.руб.)</t>
  </si>
  <si>
    <t>Расчетные налоговые доходы после 1-го этапа распределения (тыс.руб.)</t>
  </si>
  <si>
    <t>Налоговый потенциал на 1 жителя в отчетном финансовом году (тыс.руб.)</t>
  </si>
  <si>
    <t>Объем средств, необходимых для доведения БО до уровня X</t>
  </si>
  <si>
    <t>Соотношение между имеющимися средствами и объемом, необходимым для доведения БО до уровня X</t>
  </si>
  <si>
    <t>Коэффици-ент масштаба</t>
  </si>
  <si>
    <t>г.п. Березово</t>
  </si>
  <si>
    <t>г.п. Игрим</t>
  </si>
  <si>
    <t>с.п. Саранпауль</t>
  </si>
  <si>
    <t>с.п. Светлый</t>
  </si>
  <si>
    <t>с.п. Хулимсунт</t>
  </si>
  <si>
    <t>с.п. Приполярный</t>
  </si>
  <si>
    <t>Итого по району</t>
  </si>
  <si>
    <t>Коэффициент удорожания коммунальных услуг</t>
  </si>
  <si>
    <t>Доля расходов на ЖКХ</t>
  </si>
  <si>
    <t>Доля расходов на культуру</t>
  </si>
  <si>
    <t>Доля расходов на другие виды</t>
  </si>
  <si>
    <t>Численность условных потребителей услуг культуры</t>
  </si>
  <si>
    <t>Численность условных потребителей услуг жилищно-коммунального хозяйства</t>
  </si>
  <si>
    <t>ИБР по ЖКХ</t>
  </si>
  <si>
    <t>Удельный вес населения муниципального образования в населении района</t>
  </si>
  <si>
    <t>ИБР по другим видам расходов</t>
  </si>
  <si>
    <t>Предельная стоимость ЖК услуг из расчета на 1 кв.м.  (руб.)</t>
  </si>
  <si>
    <t>ИБР по культуре</t>
  </si>
  <si>
    <t>Земельный налог</t>
  </si>
  <si>
    <t>Итого по поселениям</t>
  </si>
  <si>
    <t>Субсидия из бюджета поселения  (тыс.руб.)</t>
  </si>
  <si>
    <t>Пороговое значение расчетных налоговых доходов как критерий перечисления субсидий в бюджет района (тыс.руб.)</t>
  </si>
  <si>
    <t>Бюджетная обеспеченность после перечисления субсидий из бюджета поселения (тыс.руб.)</t>
  </si>
  <si>
    <t>Расчетные налоговые доходы после перечисления субсидий в бюджет района (тыс.руб.)</t>
  </si>
  <si>
    <t>Налог на имущество физических лиц</t>
  </si>
  <si>
    <t>район</t>
  </si>
  <si>
    <t>МО, имеющие право на получение указанной части дотаций (1 - имеет право)</t>
  </si>
  <si>
    <t xml:space="preserve">Бюджетная обеспеченность </t>
  </si>
  <si>
    <t>Расчетные доходы в расчете на одного жителя (тыс.руб.)</t>
  </si>
  <si>
    <t>Итого дотации из районного фонда финансовой поддержки поселений        (1 этап + 2 этап)</t>
  </si>
  <si>
    <t>Трансферт 2-го этапа распределения РФФПП ("подтягивающий трансферт") (тыс.руб.)</t>
  </si>
  <si>
    <t>трансферт 1-го этапа распределения РФФПП ( в объеме субвенции из регионального фонда компенсации) из расчета на 1 жителя</t>
  </si>
  <si>
    <t>Доля расходов включенных в репрезентативную систему расходных обязательств (%)</t>
  </si>
  <si>
    <t>тыс. рублей</t>
  </si>
  <si>
    <t>*</t>
  </si>
  <si>
    <t>Параметры модели межбюджетных отношений по Березовскому району</t>
  </si>
  <si>
    <t xml:space="preserve">Расчеты индексов бюджетных расходов поселений на 2014 год </t>
  </si>
  <si>
    <t>Расчет индекса налогового потенциала поселений на 2014 год</t>
  </si>
  <si>
    <t>Расчет индекса налогового потенциала поселений на 2015 год</t>
  </si>
  <si>
    <t>прогноз 2014 г.</t>
  </si>
  <si>
    <t>Налоговый потенциал 2014 года (тыс. руб.)</t>
  </si>
  <si>
    <t>Налоговый потенциал на 1 жителя на 2014 (тыс.руб.)</t>
  </si>
  <si>
    <t>Индекс налогового потенциала 2014 года</t>
  </si>
  <si>
    <t>прогноз 2015 г.</t>
  </si>
  <si>
    <t>Налоговый потенциал 2015 года (тыс. руб.)</t>
  </si>
  <si>
    <t>Налоговый потенциал на 1 жителя на 2015 (тыс.руб.)</t>
  </si>
  <si>
    <t>Индекс налогового потенциала 2015 года</t>
  </si>
  <si>
    <t>2013 год</t>
  </si>
  <si>
    <t>2014 год</t>
  </si>
  <si>
    <t>2015 год</t>
  </si>
  <si>
    <t>Расчет трансфертов из районного фонда финансовой поддержки поселений на 2014 год</t>
  </si>
  <si>
    <t>Расчет трансфертов из районного фонда финансовой поддержки поселений на 2015 год</t>
  </si>
  <si>
    <t xml:space="preserve"> </t>
  </si>
  <si>
    <t>коэффициент инфляции</t>
  </si>
  <si>
    <t>2016 год</t>
  </si>
  <si>
    <t>Расчет индекса налогового потенциала поселений на 2016 год</t>
  </si>
  <si>
    <t>прогноз 2015 гг.</t>
  </si>
  <si>
    <t>прогноз 2016 г.</t>
  </si>
  <si>
    <t>Налоговый потенциал 2016 года (тыс. руб.)</t>
  </si>
  <si>
    <t>Налоговый потенциал на 1 жителя на 2016 (тыс.руб.)</t>
  </si>
  <si>
    <t>Индекс налогового потенциала 2016 года</t>
  </si>
  <si>
    <t xml:space="preserve">Расчеты индексов бюджетных расходов поселений на 2015 год </t>
  </si>
  <si>
    <t xml:space="preserve">Расчеты индексов бюджетных расходов поселений на 2016 год </t>
  </si>
  <si>
    <t>70655,9*1,05+76467,6=150656,3</t>
  </si>
  <si>
    <t>74188,7*1,05+80 298,7=158196,8</t>
  </si>
  <si>
    <t>77898,2*1,05+84338,3=166 131,4</t>
  </si>
  <si>
    <t>Расчет трансфертов из районного фонда финансовой поддержки поселений на 2016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</si>
</sst>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0.0000"/>
    <numFmt numFmtId="169" formatCode="0.00000"/>
    <numFmt numFmtId="170" formatCode="#,##0.000"/>
    <numFmt numFmtId="171" formatCode="#,##0.0000"/>
    <numFmt numFmtId="172" formatCode="[$-FC19]d\ mmmm\ yyyy\ &quot;г.&quot;"/>
    <numFmt numFmtId="173" formatCode="000000"/>
    <numFmt numFmtId="174" formatCode="0.000000"/>
    <numFmt numFmtId="175" formatCode="0.0000000"/>
    <numFmt numFmtId="176" formatCode="_(* #,##0_);_(* \(#,##0\);_(* &quot;-&quot;??_);_(@_)"/>
    <numFmt numFmtId="177" formatCode="_(* #,##0.00_);_(* \(#,##0.00\);_(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_р_._-;\-* #,##0.0000_р_._-;_-* &quot;-&quot;??_р_._-;_-@_-"/>
    <numFmt numFmtId="193" formatCode="0.000000000"/>
    <numFmt numFmtId="194" formatCode="0.000%"/>
    <numFmt numFmtId="195" formatCode="0.0000%"/>
    <numFmt numFmtId="196" formatCode="#,##0.00000"/>
    <numFmt numFmtId="197" formatCode="_(* #,##0.0_);_(* \(#,##0.0\);_(* &quot;-&quot;??_);_(@_)"/>
    <numFmt numFmtId="198" formatCode="0.0000000000"/>
    <numFmt numFmtId="199" formatCode="0.00000000000"/>
    <numFmt numFmtId="200" formatCode="_-* #,##0.0_р_._-;\-* #,##0.0_р_._-;_-* &quot;-&quot;?_р_._-;_-@_-"/>
  </numFmts>
  <fonts count="6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b/>
      <sz val="12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79" fontId="1" fillId="33" borderId="0" xfId="59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166" fontId="2" fillId="33" borderId="0" xfId="56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70" fontId="2" fillId="33" borderId="0" xfId="56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170" fontId="2" fillId="33" borderId="0" xfId="56" applyNumberFormat="1" applyFont="1" applyFill="1" applyBorder="1" applyAlignment="1">
      <alignment/>
    </xf>
    <xf numFmtId="178" fontId="2" fillId="33" borderId="0" xfId="59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" fontId="5" fillId="33" borderId="0" xfId="59" applyNumberFormat="1" applyFont="1" applyFill="1" applyBorder="1" applyAlignment="1">
      <alignment horizontal="right"/>
    </xf>
    <xf numFmtId="166" fontId="5" fillId="33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4" fillId="34" borderId="11" xfId="0" applyFont="1" applyFill="1" applyBorder="1" applyAlignment="1">
      <alignment/>
    </xf>
    <xf numFmtId="167" fontId="15" fillId="33" borderId="12" xfId="0" applyNumberFormat="1" applyFont="1" applyFill="1" applyBorder="1" applyAlignment="1">
      <alignment/>
    </xf>
    <xf numFmtId="3" fontId="15" fillId="33" borderId="12" xfId="59" applyNumberFormat="1" applyFont="1" applyFill="1" applyBorder="1" applyAlignment="1">
      <alignment/>
    </xf>
    <xf numFmtId="3" fontId="15" fillId="33" borderId="13" xfId="59" applyNumberFormat="1" applyFont="1" applyFill="1" applyBorder="1" applyAlignment="1">
      <alignment/>
    </xf>
    <xf numFmtId="167" fontId="15" fillId="33" borderId="13" xfId="0" applyNumberFormat="1" applyFont="1" applyFill="1" applyBorder="1" applyAlignment="1">
      <alignment/>
    </xf>
    <xf numFmtId="3" fontId="15" fillId="33" borderId="14" xfId="59" applyNumberFormat="1" applyFont="1" applyFill="1" applyBorder="1" applyAlignment="1">
      <alignment/>
    </xf>
    <xf numFmtId="167" fontId="15" fillId="33" borderId="14" xfId="0" applyNumberFormat="1" applyFont="1" applyFill="1" applyBorder="1" applyAlignment="1">
      <alignment/>
    </xf>
    <xf numFmtId="167" fontId="15" fillId="34" borderId="11" xfId="0" applyNumberFormat="1" applyFont="1" applyFill="1" applyBorder="1" applyAlignment="1">
      <alignment/>
    </xf>
    <xf numFmtId="2" fontId="15" fillId="34" borderId="11" xfId="0" applyNumberFormat="1" applyFont="1" applyFill="1" applyBorder="1" applyAlignment="1">
      <alignment/>
    </xf>
    <xf numFmtId="3" fontId="15" fillId="34" borderId="11" xfId="59" applyNumberFormat="1" applyFont="1" applyFill="1" applyBorder="1" applyAlignment="1">
      <alignment/>
    </xf>
    <xf numFmtId="1" fontId="15" fillId="34" borderId="11" xfId="0" applyNumberFormat="1" applyFont="1" applyFill="1" applyBorder="1" applyAlignment="1">
      <alignment/>
    </xf>
    <xf numFmtId="3" fontId="6" fillId="34" borderId="12" xfId="59" applyNumberFormat="1" applyFont="1" applyFill="1" applyBorder="1" applyAlignment="1">
      <alignment/>
    </xf>
    <xf numFmtId="167" fontId="16" fillId="34" borderId="12" xfId="0" applyNumberFormat="1" applyFont="1" applyFill="1" applyBorder="1" applyAlignment="1">
      <alignment/>
    </xf>
    <xf numFmtId="167" fontId="16" fillId="34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7" fillId="34" borderId="12" xfId="0" applyNumberFormat="1" applyFont="1" applyFill="1" applyBorder="1" applyAlignment="1">
      <alignment/>
    </xf>
    <xf numFmtId="178" fontId="6" fillId="34" borderId="12" xfId="59" applyNumberFormat="1" applyFont="1" applyFill="1" applyBorder="1" applyAlignment="1">
      <alignment/>
    </xf>
    <xf numFmtId="0" fontId="18" fillId="34" borderId="12" xfId="0" applyFont="1" applyFill="1" applyBorder="1" applyAlignment="1">
      <alignment/>
    </xf>
    <xf numFmtId="3" fontId="18" fillId="34" borderId="12" xfId="59" applyNumberFormat="1" applyFont="1" applyFill="1" applyBorder="1" applyAlignment="1">
      <alignment vertical="center" wrapText="1"/>
    </xf>
    <xf numFmtId="177" fontId="18" fillId="34" borderId="12" xfId="59" applyNumberFormat="1" applyFont="1" applyFill="1" applyBorder="1" applyAlignment="1">
      <alignment horizontal="right" vertical="center" wrapText="1"/>
    </xf>
    <xf numFmtId="167" fontId="18" fillId="34" borderId="12" xfId="0" applyNumberFormat="1" applyFont="1" applyFill="1" applyBorder="1" applyAlignment="1">
      <alignment/>
    </xf>
    <xf numFmtId="3" fontId="16" fillId="34" borderId="12" xfId="59" applyNumberFormat="1" applyFont="1" applyFill="1" applyBorder="1" applyAlignment="1">
      <alignment/>
    </xf>
    <xf numFmtId="0" fontId="11" fillId="35" borderId="0" xfId="0" applyFont="1" applyFill="1" applyAlignment="1">
      <alignment/>
    </xf>
    <xf numFmtId="176" fontId="1" fillId="35" borderId="0" xfId="59" applyNumberFormat="1" applyFont="1" applyFill="1" applyAlignment="1">
      <alignment vertical="center" wrapText="1"/>
    </xf>
    <xf numFmtId="0" fontId="1" fillId="35" borderId="0" xfId="0" applyFont="1" applyFill="1" applyAlignment="1">
      <alignment/>
    </xf>
    <xf numFmtId="0" fontId="11" fillId="36" borderId="0" xfId="0" applyFont="1" applyFill="1" applyAlignment="1">
      <alignment/>
    </xf>
    <xf numFmtId="176" fontId="1" fillId="36" borderId="0" xfId="59" applyNumberFormat="1" applyFont="1" applyFill="1" applyAlignment="1">
      <alignment vertical="center" wrapText="1"/>
    </xf>
    <xf numFmtId="0" fontId="1" fillId="36" borderId="0" xfId="0" applyFont="1" applyFill="1" applyAlignment="1">
      <alignment/>
    </xf>
    <xf numFmtId="3" fontId="2" fillId="35" borderId="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16" fillId="35" borderId="12" xfId="59" applyNumberFormat="1" applyFont="1" applyFill="1" applyBorder="1" applyAlignment="1">
      <alignment/>
    </xf>
    <xf numFmtId="164" fontId="6" fillId="34" borderId="12" xfId="59" applyNumberFormat="1" applyFont="1" applyFill="1" applyBorder="1" applyAlignment="1">
      <alignment/>
    </xf>
    <xf numFmtId="178" fontId="6" fillId="35" borderId="12" xfId="59" applyNumberFormat="1" applyFont="1" applyFill="1" applyBorder="1" applyAlignment="1">
      <alignment/>
    </xf>
    <xf numFmtId="164" fontId="6" fillId="36" borderId="12" xfId="0" applyNumberFormat="1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/>
    </xf>
    <xf numFmtId="170" fontId="2" fillId="35" borderId="0" xfId="0" applyNumberFormat="1" applyFont="1" applyFill="1" applyBorder="1" applyAlignment="1">
      <alignment/>
    </xf>
    <xf numFmtId="166" fontId="2" fillId="35" borderId="0" xfId="56" applyNumberFormat="1" applyFont="1" applyFill="1" applyBorder="1" applyAlignment="1">
      <alignment/>
    </xf>
    <xf numFmtId="167" fontId="2" fillId="35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167" fontId="6" fillId="34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vertical="center" wrapText="1"/>
    </xf>
    <xf numFmtId="166" fontId="11" fillId="33" borderId="0" xfId="0" applyNumberFormat="1" applyFont="1" applyFill="1" applyBorder="1" applyAlignment="1">
      <alignment horizontal="right"/>
    </xf>
    <xf numFmtId="165" fontId="11" fillId="33" borderId="0" xfId="0" applyNumberFormat="1" applyFont="1" applyFill="1" applyBorder="1" applyAlignment="1">
      <alignment/>
    </xf>
    <xf numFmtId="0" fontId="10" fillId="33" borderId="0" xfId="52" applyFont="1" applyFill="1" applyBorder="1" applyAlignment="1">
      <alignment vertical="center" wrapText="1"/>
      <protection/>
    </xf>
    <xf numFmtId="0" fontId="11" fillId="37" borderId="12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left" vertical="center" wrapText="1"/>
    </xf>
    <xf numFmtId="3" fontId="5" fillId="37" borderId="16" xfId="59" applyNumberFormat="1" applyFont="1" applyFill="1" applyBorder="1" applyAlignment="1">
      <alignment horizontal="right"/>
    </xf>
    <xf numFmtId="0" fontId="4" fillId="37" borderId="17" xfId="0" applyFont="1" applyFill="1" applyBorder="1" applyAlignment="1">
      <alignment horizontal="left" vertical="center" wrapText="1"/>
    </xf>
    <xf numFmtId="9" fontId="5" fillId="37" borderId="18" xfId="56" applyFont="1" applyFill="1" applyBorder="1" applyAlignment="1">
      <alignment/>
    </xf>
    <xf numFmtId="4" fontId="5" fillId="37" borderId="0" xfId="59" applyNumberFormat="1" applyFont="1" applyFill="1" applyBorder="1" applyAlignment="1">
      <alignment horizontal="right"/>
    </xf>
    <xf numFmtId="0" fontId="4" fillId="37" borderId="12" xfId="0" applyFont="1" applyFill="1" applyBorder="1" applyAlignment="1">
      <alignment horizontal="center" vertical="center" wrapText="1"/>
    </xf>
    <xf numFmtId="166" fontId="5" fillId="37" borderId="18" xfId="0" applyNumberFormat="1" applyFont="1" applyFill="1" applyBorder="1" applyAlignment="1">
      <alignment horizontal="right"/>
    </xf>
    <xf numFmtId="166" fontId="11" fillId="37" borderId="12" xfId="0" applyNumberFormat="1" applyFont="1" applyFill="1" applyBorder="1" applyAlignment="1">
      <alignment horizontal="right"/>
    </xf>
    <xf numFmtId="166" fontId="5" fillId="37" borderId="0" xfId="0" applyNumberFormat="1" applyFont="1" applyFill="1" applyBorder="1" applyAlignment="1">
      <alignment horizontal="right"/>
    </xf>
    <xf numFmtId="166" fontId="11" fillId="37" borderId="0" xfId="0" applyNumberFormat="1" applyFont="1" applyFill="1" applyBorder="1" applyAlignment="1">
      <alignment horizontal="right"/>
    </xf>
    <xf numFmtId="165" fontId="11" fillId="37" borderId="0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5" xfId="0" applyFont="1" applyFill="1" applyBorder="1" applyAlignment="1">
      <alignment horizontal="left" vertical="top" wrapText="1"/>
    </xf>
    <xf numFmtId="3" fontId="5" fillId="37" borderId="16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left" vertical="top" wrapText="1"/>
    </xf>
    <xf numFmtId="3" fontId="5" fillId="37" borderId="19" xfId="0" applyNumberFormat="1" applyFont="1" applyFill="1" applyBorder="1" applyAlignment="1">
      <alignment/>
    </xf>
    <xf numFmtId="0" fontId="0" fillId="37" borderId="12" xfId="0" applyFill="1" applyBorder="1" applyAlignment="1">
      <alignment/>
    </xf>
    <xf numFmtId="0" fontId="5" fillId="37" borderId="20" xfId="0" applyFont="1" applyFill="1" applyBorder="1" applyAlignment="1">
      <alignment/>
    </xf>
    <xf numFmtId="4" fontId="5" fillId="37" borderId="21" xfId="0" applyNumberFormat="1" applyFont="1" applyFill="1" applyBorder="1" applyAlignment="1">
      <alignment/>
    </xf>
    <xf numFmtId="176" fontId="4" fillId="37" borderId="22" xfId="59" applyNumberFormat="1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/>
    </xf>
    <xf numFmtId="176" fontId="17" fillId="37" borderId="12" xfId="0" applyNumberFormat="1" applyFont="1" applyFill="1" applyBorder="1" applyAlignment="1">
      <alignment/>
    </xf>
    <xf numFmtId="177" fontId="17" fillId="37" borderId="12" xfId="0" applyNumberFormat="1" applyFont="1" applyFill="1" applyBorder="1" applyAlignment="1">
      <alignment/>
    </xf>
    <xf numFmtId="167" fontId="17" fillId="37" borderId="12" xfId="0" applyNumberFormat="1" applyFont="1" applyFill="1" applyBorder="1" applyAlignment="1">
      <alignment/>
    </xf>
    <xf numFmtId="0" fontId="17" fillId="37" borderId="12" xfId="0" applyFont="1" applyFill="1" applyBorder="1" applyAlignment="1">
      <alignment/>
    </xf>
    <xf numFmtId="164" fontId="18" fillId="34" borderId="12" xfId="59" applyNumberFormat="1" applyFont="1" applyFill="1" applyBorder="1" applyAlignment="1">
      <alignment vertical="center" wrapText="1"/>
    </xf>
    <xf numFmtId="197" fontId="17" fillId="37" borderId="12" xfId="0" applyNumberFormat="1" applyFont="1" applyFill="1" applyBorder="1" applyAlignment="1">
      <alignment/>
    </xf>
    <xf numFmtId="197" fontId="18" fillId="34" borderId="12" xfId="59" applyNumberFormat="1" applyFont="1" applyFill="1" applyBorder="1" applyAlignment="1">
      <alignment horizontal="right" vertical="center" wrapText="1"/>
    </xf>
    <xf numFmtId="197" fontId="18" fillId="34" borderId="12" xfId="59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center"/>
    </xf>
    <xf numFmtId="179" fontId="1" fillId="33" borderId="0" xfId="59" applyNumberFormat="1" applyFont="1" applyFill="1" applyAlignment="1">
      <alignment horizontal="center"/>
    </xf>
    <xf numFmtId="0" fontId="13" fillId="37" borderId="12" xfId="0" applyFont="1" applyFill="1" applyBorder="1" applyAlignment="1">
      <alignment/>
    </xf>
    <xf numFmtId="3" fontId="15" fillId="37" borderId="12" xfId="59" applyNumberFormat="1" applyFont="1" applyFill="1" applyBorder="1" applyAlignment="1">
      <alignment/>
    </xf>
    <xf numFmtId="167" fontId="15" fillId="37" borderId="12" xfId="0" applyNumberFormat="1" applyFont="1" applyFill="1" applyBorder="1" applyAlignment="1">
      <alignment/>
    </xf>
    <xf numFmtId="2" fontId="15" fillId="37" borderId="12" xfId="0" applyNumberFormat="1" applyFont="1" applyFill="1" applyBorder="1" applyAlignment="1">
      <alignment/>
    </xf>
    <xf numFmtId="2" fontId="12" fillId="37" borderId="12" xfId="0" applyNumberFormat="1" applyFont="1" applyFill="1" applyBorder="1" applyAlignment="1">
      <alignment/>
    </xf>
    <xf numFmtId="1" fontId="15" fillId="37" borderId="12" xfId="0" applyNumberFormat="1" applyFont="1" applyFill="1" applyBorder="1" applyAlignment="1">
      <alignment/>
    </xf>
    <xf numFmtId="0" fontId="13" fillId="37" borderId="13" xfId="0" applyFont="1" applyFill="1" applyBorder="1" applyAlignment="1">
      <alignment/>
    </xf>
    <xf numFmtId="167" fontId="15" fillId="37" borderId="13" xfId="0" applyNumberFormat="1" applyFont="1" applyFill="1" applyBorder="1" applyAlignment="1">
      <alignment/>
    </xf>
    <xf numFmtId="2" fontId="15" fillId="37" borderId="13" xfId="0" applyNumberFormat="1" applyFont="1" applyFill="1" applyBorder="1" applyAlignment="1">
      <alignment/>
    </xf>
    <xf numFmtId="1" fontId="15" fillId="37" borderId="13" xfId="0" applyNumberFormat="1" applyFont="1" applyFill="1" applyBorder="1" applyAlignment="1">
      <alignment/>
    </xf>
    <xf numFmtId="0" fontId="13" fillId="37" borderId="14" xfId="0" applyFont="1" applyFill="1" applyBorder="1" applyAlignment="1">
      <alignment/>
    </xf>
    <xf numFmtId="167" fontId="15" fillId="37" borderId="14" xfId="0" applyNumberFormat="1" applyFont="1" applyFill="1" applyBorder="1" applyAlignment="1">
      <alignment/>
    </xf>
    <xf numFmtId="2" fontId="15" fillId="37" borderId="14" xfId="0" applyNumberFormat="1" applyFont="1" applyFill="1" applyBorder="1" applyAlignment="1">
      <alignment/>
    </xf>
    <xf numFmtId="1" fontId="15" fillId="37" borderId="14" xfId="0" applyNumberFormat="1" applyFont="1" applyFill="1" applyBorder="1" applyAlignment="1">
      <alignment/>
    </xf>
    <xf numFmtId="168" fontId="15" fillId="37" borderId="12" xfId="0" applyNumberFormat="1" applyFont="1" applyFill="1" applyBorder="1" applyAlignment="1">
      <alignment/>
    </xf>
    <xf numFmtId="168" fontId="15" fillId="37" borderId="13" xfId="0" applyNumberFormat="1" applyFont="1" applyFill="1" applyBorder="1" applyAlignment="1">
      <alignment/>
    </xf>
    <xf numFmtId="168" fontId="15" fillId="37" borderId="14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164" fontId="15" fillId="37" borderId="12" xfId="0" applyNumberFormat="1" applyFont="1" applyFill="1" applyBorder="1" applyAlignment="1">
      <alignment/>
    </xf>
    <xf numFmtId="164" fontId="16" fillId="35" borderId="12" xfId="59" applyNumberFormat="1" applyFont="1" applyFill="1" applyBorder="1" applyAlignment="1">
      <alignment horizontal="center"/>
    </xf>
    <xf numFmtId="167" fontId="15" fillId="37" borderId="12" xfId="0" applyNumberFormat="1" applyFont="1" applyFill="1" applyBorder="1" applyAlignment="1">
      <alignment horizontal="center"/>
    </xf>
    <xf numFmtId="2" fontId="15" fillId="37" borderId="12" xfId="0" applyNumberFormat="1" applyFont="1" applyFill="1" applyBorder="1" applyAlignment="1">
      <alignment horizontal="center"/>
    </xf>
    <xf numFmtId="3" fontId="15" fillId="33" borderId="12" xfId="59" applyNumberFormat="1" applyFont="1" applyFill="1" applyBorder="1" applyAlignment="1">
      <alignment horizontal="center"/>
    </xf>
    <xf numFmtId="167" fontId="15" fillId="33" borderId="12" xfId="0" applyNumberFormat="1" applyFont="1" applyFill="1" applyBorder="1" applyAlignment="1">
      <alignment horizontal="center"/>
    </xf>
    <xf numFmtId="164" fontId="6" fillId="36" borderId="12" xfId="0" applyNumberFormat="1" applyFont="1" applyFill="1" applyBorder="1" applyAlignment="1">
      <alignment horizontal="center"/>
    </xf>
    <xf numFmtId="2" fontId="15" fillId="37" borderId="13" xfId="0" applyNumberFormat="1" applyFont="1" applyFill="1" applyBorder="1" applyAlignment="1">
      <alignment horizontal="center"/>
    </xf>
    <xf numFmtId="3" fontId="15" fillId="33" borderId="13" xfId="59" applyNumberFormat="1" applyFont="1" applyFill="1" applyBorder="1" applyAlignment="1">
      <alignment horizontal="center"/>
    </xf>
    <xf numFmtId="167" fontId="15" fillId="33" borderId="13" xfId="0" applyNumberFormat="1" applyFont="1" applyFill="1" applyBorder="1" applyAlignment="1">
      <alignment horizontal="center"/>
    </xf>
    <xf numFmtId="2" fontId="15" fillId="37" borderId="14" xfId="0" applyNumberFormat="1" applyFont="1" applyFill="1" applyBorder="1" applyAlignment="1">
      <alignment horizontal="center"/>
    </xf>
    <xf numFmtId="3" fontId="15" fillId="33" borderId="14" xfId="59" applyNumberFormat="1" applyFont="1" applyFill="1" applyBorder="1" applyAlignment="1">
      <alignment horizontal="center"/>
    </xf>
    <xf numFmtId="167" fontId="15" fillId="33" borderId="14" xfId="0" applyNumberFormat="1" applyFont="1" applyFill="1" applyBorder="1" applyAlignment="1">
      <alignment horizontal="center"/>
    </xf>
    <xf numFmtId="164" fontId="6" fillId="34" borderId="12" xfId="59" applyNumberFormat="1" applyFont="1" applyFill="1" applyBorder="1" applyAlignment="1">
      <alignment horizontal="center"/>
    </xf>
    <xf numFmtId="167" fontId="15" fillId="34" borderId="11" xfId="0" applyNumberFormat="1" applyFont="1" applyFill="1" applyBorder="1" applyAlignment="1">
      <alignment horizontal="center"/>
    </xf>
    <xf numFmtId="2" fontId="15" fillId="34" borderId="11" xfId="0" applyNumberFormat="1" applyFont="1" applyFill="1" applyBorder="1" applyAlignment="1">
      <alignment horizontal="center"/>
    </xf>
    <xf numFmtId="3" fontId="15" fillId="34" borderId="11" xfId="59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3" fontId="15" fillId="37" borderId="12" xfId="59" applyNumberFormat="1" applyFont="1" applyFill="1" applyBorder="1" applyAlignment="1">
      <alignment horizontal="center"/>
    </xf>
    <xf numFmtId="2" fontId="12" fillId="37" borderId="12" xfId="0" applyNumberFormat="1" applyFont="1" applyFill="1" applyBorder="1" applyAlignment="1">
      <alignment horizontal="center"/>
    </xf>
    <xf numFmtId="1" fontId="15" fillId="37" borderId="12" xfId="0" applyNumberFormat="1" applyFont="1" applyFill="1" applyBorder="1" applyAlignment="1">
      <alignment horizontal="center"/>
    </xf>
    <xf numFmtId="178" fontId="6" fillId="35" borderId="12" xfId="59" applyNumberFormat="1" applyFont="1" applyFill="1" applyBorder="1" applyAlignment="1">
      <alignment horizontal="center"/>
    </xf>
    <xf numFmtId="168" fontId="15" fillId="37" borderId="12" xfId="0" applyNumberFormat="1" applyFont="1" applyFill="1" applyBorder="1" applyAlignment="1">
      <alignment horizontal="center"/>
    </xf>
    <xf numFmtId="164" fontId="15" fillId="37" borderId="12" xfId="0" applyNumberFormat="1" applyFont="1" applyFill="1" applyBorder="1" applyAlignment="1">
      <alignment horizontal="center"/>
    </xf>
    <xf numFmtId="167" fontId="15" fillId="37" borderId="13" xfId="0" applyNumberFormat="1" applyFont="1" applyFill="1" applyBorder="1" applyAlignment="1">
      <alignment horizontal="center"/>
    </xf>
    <xf numFmtId="1" fontId="15" fillId="37" borderId="13" xfId="0" applyNumberFormat="1" applyFont="1" applyFill="1" applyBorder="1" applyAlignment="1">
      <alignment horizontal="center"/>
    </xf>
    <xf numFmtId="168" fontId="15" fillId="37" borderId="13" xfId="0" applyNumberFormat="1" applyFont="1" applyFill="1" applyBorder="1" applyAlignment="1">
      <alignment horizontal="center"/>
    </xf>
    <xf numFmtId="167" fontId="15" fillId="37" borderId="14" xfId="0" applyNumberFormat="1" applyFont="1" applyFill="1" applyBorder="1" applyAlignment="1">
      <alignment horizontal="center"/>
    </xf>
    <xf numFmtId="1" fontId="15" fillId="37" borderId="14" xfId="0" applyNumberFormat="1" applyFont="1" applyFill="1" applyBorder="1" applyAlignment="1">
      <alignment horizontal="center"/>
    </xf>
    <xf numFmtId="168" fontId="15" fillId="37" borderId="14" xfId="0" applyNumberFormat="1" applyFont="1" applyFill="1" applyBorder="1" applyAlignment="1">
      <alignment horizontal="center"/>
    </xf>
    <xf numFmtId="3" fontId="16" fillId="34" borderId="12" xfId="59" applyNumberFormat="1" applyFont="1" applyFill="1" applyBorder="1" applyAlignment="1">
      <alignment horizontal="center"/>
    </xf>
    <xf numFmtId="167" fontId="16" fillId="34" borderId="12" xfId="0" applyNumberFormat="1" applyFont="1" applyFill="1" applyBorder="1" applyAlignment="1">
      <alignment horizontal="center"/>
    </xf>
    <xf numFmtId="167" fontId="16" fillId="34" borderId="11" xfId="0" applyNumberFormat="1" applyFont="1" applyFill="1" applyBorder="1" applyAlignment="1">
      <alignment horizontal="center"/>
    </xf>
    <xf numFmtId="2" fontId="16" fillId="34" borderId="11" xfId="0" applyNumberFormat="1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/>
    </xf>
    <xf numFmtId="3" fontId="6" fillId="34" borderId="12" xfId="59" applyNumberFormat="1" applyFont="1" applyFill="1" applyBorder="1" applyAlignment="1">
      <alignment horizontal="center"/>
    </xf>
    <xf numFmtId="1" fontId="15" fillId="34" borderId="11" xfId="0" applyNumberFormat="1" applyFont="1" applyFill="1" applyBorder="1" applyAlignment="1">
      <alignment horizontal="center"/>
    </xf>
    <xf numFmtId="178" fontId="6" fillId="34" borderId="12" xfId="59" applyNumberFormat="1" applyFont="1" applyFill="1" applyBorder="1" applyAlignment="1">
      <alignment horizontal="center"/>
    </xf>
    <xf numFmtId="167" fontId="6" fillId="34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66" fontId="5" fillId="37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179" fontId="20" fillId="0" borderId="0" xfId="59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6" fontId="11" fillId="33" borderId="0" xfId="0" applyNumberFormat="1" applyFont="1" applyFill="1" applyBorder="1" applyAlignment="1">
      <alignment horizontal="center" wrapText="1"/>
    </xf>
    <xf numFmtId="166" fontId="11" fillId="33" borderId="0" xfId="0" applyNumberFormat="1" applyFont="1" applyFill="1" applyBorder="1" applyAlignment="1">
      <alignment horizontal="right"/>
    </xf>
    <xf numFmtId="0" fontId="4" fillId="33" borderId="0" xfId="52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3" fontId="5" fillId="33" borderId="0" xfId="59" applyNumberFormat="1" applyFont="1" applyFill="1" applyBorder="1" applyAlignment="1">
      <alignment horizontal="right"/>
    </xf>
    <xf numFmtId="9" fontId="5" fillId="33" borderId="0" xfId="56" applyFont="1" applyFill="1" applyBorder="1" applyAlignment="1">
      <alignment/>
    </xf>
    <xf numFmtId="0" fontId="19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167" fontId="1" fillId="33" borderId="12" xfId="0" applyNumberFormat="1" applyFont="1" applyFill="1" applyBorder="1" applyAlignment="1">
      <alignment horizontal="center"/>
    </xf>
    <xf numFmtId="167" fontId="2" fillId="35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7" fontId="2" fillId="34" borderId="12" xfId="0" applyNumberFormat="1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178" fontId="11" fillId="37" borderId="24" xfId="59" applyNumberFormat="1" applyFont="1" applyFill="1" applyBorder="1" applyAlignment="1">
      <alignment/>
    </xf>
    <xf numFmtId="166" fontId="5" fillId="37" borderId="17" xfId="0" applyNumberFormat="1" applyFont="1" applyFill="1" applyBorder="1" applyAlignment="1">
      <alignment horizontal="center" wrapText="1"/>
    </xf>
    <xf numFmtId="178" fontId="5" fillId="37" borderId="24" xfId="59" applyNumberFormat="1" applyFont="1" applyFill="1" applyBorder="1" applyAlignment="1">
      <alignment horizontal="right"/>
    </xf>
    <xf numFmtId="0" fontId="10" fillId="37" borderId="25" xfId="0" applyFont="1" applyFill="1" applyBorder="1" applyAlignment="1">
      <alignment vertical="center" wrapText="1"/>
    </xf>
    <xf numFmtId="165" fontId="11" fillId="37" borderId="26" xfId="0" applyNumberFormat="1" applyFont="1" applyFill="1" applyBorder="1" applyAlignment="1">
      <alignment/>
    </xf>
    <xf numFmtId="0" fontId="10" fillId="37" borderId="25" xfId="52" applyFont="1" applyFill="1" applyBorder="1" applyAlignment="1">
      <alignment vertical="center" wrapText="1"/>
      <protection/>
    </xf>
    <xf numFmtId="0" fontId="4" fillId="37" borderId="17" xfId="52" applyFont="1" applyFill="1" applyBorder="1" applyAlignment="1">
      <alignment horizontal="center" vertical="center" wrapText="1"/>
      <protection/>
    </xf>
    <xf numFmtId="0" fontId="5" fillId="37" borderId="25" xfId="0" applyFont="1" applyFill="1" applyBorder="1" applyAlignment="1">
      <alignment/>
    </xf>
    <xf numFmtId="0" fontId="4" fillId="37" borderId="27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/>
    </xf>
    <xf numFmtId="0" fontId="11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0" xfId="56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33" borderId="0" xfId="0" applyNumberFormat="1" applyFont="1" applyFill="1" applyAlignment="1">
      <alignment/>
    </xf>
    <xf numFmtId="0" fontId="11" fillId="37" borderId="17" xfId="0" applyFont="1" applyFill="1" applyBorder="1" applyAlignment="1">
      <alignment/>
    </xf>
    <xf numFmtId="0" fontId="11" fillId="37" borderId="12" xfId="0" applyFont="1" applyFill="1" applyBorder="1" applyAlignment="1">
      <alignment/>
    </xf>
    <xf numFmtId="164" fontId="5" fillId="37" borderId="23" xfId="59" applyNumberFormat="1" applyFont="1" applyFill="1" applyBorder="1" applyAlignment="1">
      <alignment horizontal="center"/>
    </xf>
    <xf numFmtId="164" fontId="5" fillId="37" borderId="28" xfId="59" applyNumberFormat="1" applyFont="1" applyFill="1" applyBorder="1" applyAlignment="1">
      <alignment horizontal="center"/>
    </xf>
    <xf numFmtId="9" fontId="5" fillId="37" borderId="12" xfId="56" applyFont="1" applyFill="1" applyBorder="1" applyAlignment="1">
      <alignment horizontal="center"/>
    </xf>
    <xf numFmtId="9" fontId="5" fillId="37" borderId="24" xfId="56" applyFont="1" applyFill="1" applyBorder="1" applyAlignment="1">
      <alignment horizontal="center"/>
    </xf>
    <xf numFmtId="178" fontId="5" fillId="37" borderId="12" xfId="59" applyNumberFormat="1" applyFont="1" applyFill="1" applyBorder="1" applyAlignment="1">
      <alignment horizontal="center"/>
    </xf>
    <xf numFmtId="178" fontId="5" fillId="37" borderId="24" xfId="59" applyNumberFormat="1" applyFont="1" applyFill="1" applyBorder="1" applyAlignment="1">
      <alignment horizontal="center"/>
    </xf>
    <xf numFmtId="0" fontId="5" fillId="37" borderId="29" xfId="0" applyFont="1" applyFill="1" applyBorder="1" applyAlignment="1">
      <alignment/>
    </xf>
    <xf numFmtId="0" fontId="5" fillId="37" borderId="26" xfId="0" applyFont="1" applyFill="1" applyBorder="1" applyAlignment="1">
      <alignment/>
    </xf>
    <xf numFmtId="164" fontId="5" fillId="37" borderId="19" xfId="0" applyNumberFormat="1" applyFont="1" applyFill="1" applyBorder="1" applyAlignment="1">
      <alignment horizontal="center"/>
    </xf>
    <xf numFmtId="164" fontId="5" fillId="37" borderId="30" xfId="0" applyNumberFormat="1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4" fontId="5" fillId="37" borderId="11" xfId="0" applyNumberFormat="1" applyFont="1" applyFill="1" applyBorder="1" applyAlignment="1">
      <alignment horizontal="center"/>
    </xf>
    <xf numFmtId="4" fontId="5" fillId="37" borderId="30" xfId="0" applyNumberFormat="1" applyFont="1" applyFill="1" applyBorder="1" applyAlignment="1">
      <alignment horizontal="center"/>
    </xf>
    <xf numFmtId="167" fontId="13" fillId="37" borderId="12" xfId="0" applyNumberFormat="1" applyFont="1" applyFill="1" applyBorder="1" applyAlignment="1">
      <alignment horizontal="center"/>
    </xf>
    <xf numFmtId="2" fontId="13" fillId="37" borderId="12" xfId="0" applyNumberFormat="1" applyFont="1" applyFill="1" applyBorder="1" applyAlignment="1">
      <alignment horizontal="center"/>
    </xf>
    <xf numFmtId="2" fontId="13" fillId="37" borderId="13" xfId="0" applyNumberFormat="1" applyFont="1" applyFill="1" applyBorder="1" applyAlignment="1">
      <alignment horizontal="center"/>
    </xf>
    <xf numFmtId="2" fontId="13" fillId="37" borderId="14" xfId="0" applyNumberFormat="1" applyFont="1" applyFill="1" applyBorder="1" applyAlignment="1">
      <alignment horizontal="center"/>
    </xf>
    <xf numFmtId="168" fontId="13" fillId="37" borderId="12" xfId="0" applyNumberFormat="1" applyFont="1" applyFill="1" applyBorder="1" applyAlignment="1">
      <alignment horizontal="center"/>
    </xf>
    <xf numFmtId="164" fontId="13" fillId="37" borderId="12" xfId="0" applyNumberFormat="1" applyFont="1" applyFill="1" applyBorder="1" applyAlignment="1">
      <alignment horizontal="center"/>
    </xf>
    <xf numFmtId="168" fontId="13" fillId="37" borderId="13" xfId="0" applyNumberFormat="1" applyFont="1" applyFill="1" applyBorder="1" applyAlignment="1">
      <alignment horizontal="center"/>
    </xf>
    <xf numFmtId="168" fontId="13" fillId="37" borderId="14" xfId="0" applyNumberFormat="1" applyFont="1" applyFill="1" applyBorder="1" applyAlignment="1">
      <alignment horizontal="center"/>
    </xf>
    <xf numFmtId="3" fontId="13" fillId="37" borderId="12" xfId="59" applyNumberFormat="1" applyFont="1" applyFill="1" applyBorder="1" applyAlignment="1">
      <alignment horizontal="center"/>
    </xf>
    <xf numFmtId="167" fontId="13" fillId="37" borderId="13" xfId="0" applyNumberFormat="1" applyFont="1" applyFill="1" applyBorder="1" applyAlignment="1">
      <alignment horizontal="center"/>
    </xf>
    <xf numFmtId="167" fontId="13" fillId="37" borderId="14" xfId="0" applyNumberFormat="1" applyFont="1" applyFill="1" applyBorder="1" applyAlignment="1">
      <alignment horizontal="center"/>
    </xf>
    <xf numFmtId="3" fontId="14" fillId="34" borderId="12" xfId="59" applyNumberFormat="1" applyFont="1" applyFill="1" applyBorder="1" applyAlignment="1">
      <alignment horizontal="center"/>
    </xf>
    <xf numFmtId="167" fontId="14" fillId="34" borderId="12" xfId="0" applyNumberFormat="1" applyFont="1" applyFill="1" applyBorder="1" applyAlignment="1">
      <alignment horizontal="center"/>
    </xf>
    <xf numFmtId="167" fontId="14" fillId="34" borderId="11" xfId="0" applyNumberFormat="1" applyFont="1" applyFill="1" applyBorder="1" applyAlignment="1">
      <alignment horizontal="center"/>
    </xf>
    <xf numFmtId="2" fontId="14" fillId="34" borderId="11" xfId="0" applyNumberFormat="1" applyFont="1" applyFill="1" applyBorder="1" applyAlignment="1">
      <alignment horizontal="center"/>
    </xf>
    <xf numFmtId="3" fontId="11" fillId="34" borderId="12" xfId="59" applyNumberFormat="1" applyFont="1" applyFill="1" applyBorder="1" applyAlignment="1">
      <alignment horizontal="center"/>
    </xf>
    <xf numFmtId="2" fontId="14" fillId="34" borderId="12" xfId="0" applyNumberFormat="1" applyFont="1" applyFill="1" applyBorder="1" applyAlignment="1">
      <alignment horizontal="center"/>
    </xf>
    <xf numFmtId="9" fontId="5" fillId="37" borderId="31" xfId="56" applyFont="1" applyFill="1" applyBorder="1" applyAlignment="1">
      <alignment/>
    </xf>
    <xf numFmtId="194" fontId="17" fillId="37" borderId="12" xfId="0" applyNumberFormat="1" applyFont="1" applyFill="1" applyBorder="1" applyAlignment="1">
      <alignment horizontal="center"/>
    </xf>
    <xf numFmtId="10" fontId="17" fillId="37" borderId="12" xfId="0" applyNumberFormat="1" applyFont="1" applyFill="1" applyBorder="1" applyAlignment="1">
      <alignment horizontal="center"/>
    </xf>
    <xf numFmtId="176" fontId="59" fillId="37" borderId="12" xfId="59" applyNumberFormat="1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/>
    </xf>
    <xf numFmtId="166" fontId="13" fillId="37" borderId="12" xfId="56" applyNumberFormat="1" applyFont="1" applyFill="1" applyBorder="1" applyAlignment="1">
      <alignment horizontal="center"/>
    </xf>
    <xf numFmtId="170" fontId="13" fillId="37" borderId="12" xfId="56" applyNumberFormat="1" applyFont="1" applyFill="1" applyBorder="1" applyAlignment="1">
      <alignment horizontal="center"/>
    </xf>
    <xf numFmtId="0" fontId="61" fillId="37" borderId="12" xfId="0" applyFont="1" applyFill="1" applyBorder="1" applyAlignment="1">
      <alignment horizontal="center"/>
    </xf>
    <xf numFmtId="176" fontId="60" fillId="37" borderId="12" xfId="59" applyNumberFormat="1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/>
    </xf>
    <xf numFmtId="166" fontId="10" fillId="37" borderId="12" xfId="56" applyNumberFormat="1" applyFont="1" applyFill="1" applyBorder="1" applyAlignment="1">
      <alignment horizontal="center"/>
    </xf>
    <xf numFmtId="167" fontId="10" fillId="37" borderId="12" xfId="0" applyNumberFormat="1" applyFont="1" applyFill="1" applyBorder="1" applyAlignment="1">
      <alignment horizontal="center"/>
    </xf>
    <xf numFmtId="170" fontId="10" fillId="37" borderId="12" xfId="56" applyNumberFormat="1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 wrapText="1"/>
    </xf>
    <xf numFmtId="4" fontId="10" fillId="37" borderId="12" xfId="0" applyNumberFormat="1" applyFont="1" applyFill="1" applyBorder="1" applyAlignment="1">
      <alignment horizontal="center"/>
    </xf>
    <xf numFmtId="0" fontId="61" fillId="37" borderId="12" xfId="0" applyFont="1" applyFill="1" applyBorder="1" applyAlignment="1">
      <alignment horizontal="center" wrapText="1"/>
    </xf>
    <xf numFmtId="170" fontId="10" fillId="37" borderId="12" xfId="0" applyNumberFormat="1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178" fontId="10" fillId="37" borderId="12" xfId="59" applyNumberFormat="1" applyFont="1" applyFill="1" applyBorder="1" applyAlignment="1">
      <alignment horizontal="center"/>
    </xf>
    <xf numFmtId="178" fontId="10" fillId="37" borderId="12" xfId="59" applyNumberFormat="1" applyFont="1" applyFill="1" applyBorder="1" applyAlignment="1">
      <alignment horizontal="center"/>
    </xf>
    <xf numFmtId="2" fontId="10" fillId="37" borderId="12" xfId="0" applyNumberFormat="1" applyFont="1" applyFill="1" applyBorder="1" applyAlignment="1">
      <alignment horizontal="center"/>
    </xf>
    <xf numFmtId="0" fontId="61" fillId="37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3" fontId="11" fillId="34" borderId="12" xfId="0" applyNumberFormat="1" applyFont="1" applyFill="1" applyBorder="1" applyAlignment="1">
      <alignment horizontal="center"/>
    </xf>
    <xf numFmtId="164" fontId="11" fillId="34" borderId="12" xfId="0" applyNumberFormat="1" applyFont="1" applyFill="1" applyBorder="1" applyAlignment="1">
      <alignment horizontal="center"/>
    </xf>
    <xf numFmtId="166" fontId="4" fillId="34" borderId="12" xfId="56" applyNumberFormat="1" applyFont="1" applyFill="1" applyBorder="1" applyAlignment="1">
      <alignment horizontal="center"/>
    </xf>
    <xf numFmtId="170" fontId="4" fillId="34" borderId="12" xfId="56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70" fontId="4" fillId="34" borderId="12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197" fontId="59" fillId="37" borderId="12" xfId="59" applyNumberFormat="1" applyFont="1" applyFill="1" applyBorder="1" applyAlignment="1">
      <alignment vertical="center" wrapText="1"/>
    </xf>
    <xf numFmtId="178" fontId="59" fillId="37" borderId="12" xfId="59" applyNumberFormat="1" applyFont="1" applyFill="1" applyBorder="1" applyAlignment="1">
      <alignment vertical="center" wrapText="1"/>
    </xf>
    <xf numFmtId="164" fontId="59" fillId="37" borderId="12" xfId="0" applyNumberFormat="1" applyFont="1" applyFill="1" applyBorder="1" applyAlignment="1">
      <alignment/>
    </xf>
    <xf numFmtId="197" fontId="59" fillId="37" borderId="12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165" fontId="10" fillId="38" borderId="12" xfId="0" applyNumberFormat="1" applyFont="1" applyFill="1" applyBorder="1" applyAlignment="1">
      <alignment horizontal="center" wrapText="1"/>
    </xf>
    <xf numFmtId="165" fontId="10" fillId="38" borderId="12" xfId="0" applyNumberFormat="1" applyFont="1" applyFill="1" applyBorder="1" applyAlignment="1">
      <alignment horizontal="center"/>
    </xf>
    <xf numFmtId="165" fontId="10" fillId="39" borderId="12" xfId="0" applyNumberFormat="1" applyFont="1" applyFill="1" applyBorder="1" applyAlignment="1">
      <alignment horizontal="center" wrapText="1"/>
    </xf>
    <xf numFmtId="165" fontId="10" fillId="39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32" xfId="52" applyFont="1" applyFill="1" applyBorder="1" applyAlignment="1">
      <alignment horizontal="center" vertical="center" wrapText="1"/>
      <protection/>
    </xf>
    <xf numFmtId="0" fontId="2" fillId="33" borderId="23" xfId="52" applyFont="1" applyFill="1" applyBorder="1" applyAlignment="1">
      <alignment horizontal="center" vertical="center" wrapText="1"/>
      <protection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11" fillId="37" borderId="36" xfId="0" applyFont="1" applyFill="1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0" fontId="11" fillId="37" borderId="38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счеты МБО ХМАО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zoomScale="75" zoomScaleNormal="75" zoomScalePageLayoutView="0" workbookViewId="0" topLeftCell="H30">
      <selection activeCell="AL71" sqref="AL71"/>
    </sheetView>
  </sheetViews>
  <sheetFormatPr defaultColWidth="11.875" defaultRowHeight="12.75"/>
  <cols>
    <col min="1" max="1" width="21.75390625" style="1" customWidth="1"/>
    <col min="2" max="2" width="14.625" style="1" customWidth="1"/>
    <col min="3" max="4" width="18.25390625" style="1" hidden="1" customWidth="1"/>
    <col min="5" max="5" width="17.125" style="1" hidden="1" customWidth="1"/>
    <col min="6" max="6" width="15.75390625" style="1" hidden="1" customWidth="1"/>
    <col min="7" max="7" width="20.875" style="1" hidden="1" customWidth="1"/>
    <col min="8" max="8" width="18.125" style="1" customWidth="1"/>
    <col min="9" max="9" width="18.375" style="1" customWidth="1"/>
    <col min="10" max="10" width="15.125" style="1" customWidth="1"/>
    <col min="11" max="11" width="13.375" style="1" customWidth="1"/>
    <col min="12" max="12" width="15.125" style="1" customWidth="1"/>
    <col min="13" max="13" width="0.37109375" style="1" customWidth="1"/>
    <col min="14" max="14" width="17.25390625" style="1" hidden="1" customWidth="1"/>
    <col min="15" max="15" width="12.625" style="1" customWidth="1"/>
    <col min="16" max="16" width="14.75390625" style="1" customWidth="1"/>
    <col min="17" max="17" width="16.375" style="1" customWidth="1"/>
    <col min="18" max="18" width="17.75390625" style="1" customWidth="1"/>
    <col min="19" max="19" width="16.75390625" style="1" customWidth="1"/>
    <col min="20" max="20" width="18.00390625" style="1" customWidth="1"/>
    <col min="21" max="21" width="0.6171875" style="1" customWidth="1"/>
    <col min="22" max="22" width="19.125" style="1" hidden="1" customWidth="1"/>
    <col min="23" max="23" width="15.625" style="1" customWidth="1"/>
    <col min="24" max="24" width="14.25390625" style="1" customWidth="1"/>
    <col min="25" max="25" width="12.625" style="1" customWidth="1"/>
    <col min="26" max="26" width="16.625" style="1" customWidth="1"/>
    <col min="27" max="27" width="0.2421875" style="3" customWidth="1"/>
    <col min="28" max="28" width="16.875" style="3" hidden="1" customWidth="1"/>
    <col min="29" max="29" width="14.25390625" style="3" customWidth="1"/>
    <col min="30" max="30" width="17.125" style="3" customWidth="1"/>
    <col min="31" max="31" width="15.125" style="3" customWidth="1"/>
    <col min="32" max="32" width="12.75390625" style="1" customWidth="1"/>
    <col min="33" max="33" width="11.00390625" style="1" customWidth="1"/>
    <col min="34" max="34" width="13.125" style="1" customWidth="1"/>
    <col min="35" max="35" width="0.6171875" style="1" customWidth="1"/>
    <col min="36" max="36" width="16.25390625" style="1" hidden="1" customWidth="1"/>
    <col min="37" max="37" width="11.25390625" style="1" customWidth="1"/>
    <col min="38" max="16384" width="11.875" style="1" customWidth="1"/>
  </cols>
  <sheetData>
    <row r="1" spans="2:11" ht="12.75">
      <c r="B1" s="58"/>
      <c r="K1" s="2"/>
    </row>
    <row r="2" ht="12.75">
      <c r="K2" s="2"/>
    </row>
    <row r="3" spans="1:38" ht="12.75">
      <c r="A3" s="169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6"/>
    </row>
    <row r="4" spans="1:37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70"/>
      <c r="AB4" s="170"/>
      <c r="AC4" s="170"/>
      <c r="AD4" s="170"/>
      <c r="AE4" s="170"/>
      <c r="AF4" s="169"/>
      <c r="AG4" s="169"/>
      <c r="AH4" s="169"/>
      <c r="AI4" s="169"/>
      <c r="AJ4" s="169"/>
      <c r="AK4" s="169"/>
    </row>
    <row r="5" ht="12.75"/>
    <row r="6" ht="12.75"/>
    <row r="7" spans="1:37" ht="15.75">
      <c r="A7" s="10"/>
      <c r="B7" s="277" t="s">
        <v>74</v>
      </c>
      <c r="C7" s="54"/>
      <c r="D7" s="54"/>
      <c r="E7" s="54"/>
      <c r="F7" s="54"/>
      <c r="G7" s="67"/>
      <c r="H7" s="54"/>
      <c r="I7" s="68"/>
      <c r="J7" s="69"/>
      <c r="K7" s="11"/>
      <c r="L7" s="15"/>
      <c r="M7" s="12"/>
      <c r="N7" s="12"/>
      <c r="O7" s="16"/>
      <c r="P7" s="17"/>
      <c r="Q7" s="18"/>
      <c r="R7" s="18"/>
      <c r="S7" s="18"/>
      <c r="T7" s="12"/>
      <c r="U7" s="17"/>
      <c r="V7" s="12"/>
      <c r="W7" s="17"/>
      <c r="X7" s="17"/>
      <c r="Y7" s="19"/>
      <c r="Z7" s="20"/>
      <c r="AA7" s="21"/>
      <c r="AB7" s="21"/>
      <c r="AC7" s="21"/>
      <c r="AD7" s="21"/>
      <c r="AE7" s="21"/>
      <c r="AF7" s="14"/>
      <c r="AG7" s="14"/>
      <c r="AH7" s="14"/>
      <c r="AI7" s="14"/>
      <c r="AJ7" s="14"/>
      <c r="AK7" s="14"/>
    </row>
    <row r="8" spans="1:37" ht="12.75">
      <c r="A8" s="10"/>
      <c r="B8" s="11"/>
      <c r="C8" s="11"/>
      <c r="D8" s="11"/>
      <c r="E8" s="11"/>
      <c r="F8" s="11"/>
      <c r="G8" s="12"/>
      <c r="H8" s="11"/>
      <c r="I8" s="13"/>
      <c r="J8" s="14"/>
      <c r="K8" s="11"/>
      <c r="L8" s="15"/>
      <c r="M8" s="12"/>
      <c r="N8" s="12"/>
      <c r="O8" s="16"/>
      <c r="P8" s="17"/>
      <c r="Q8" s="18"/>
      <c r="R8" s="18"/>
      <c r="S8" s="18"/>
      <c r="T8" s="12"/>
      <c r="U8" s="17"/>
      <c r="V8" s="12"/>
      <c r="W8" s="17"/>
      <c r="X8" s="17"/>
      <c r="Y8" s="19"/>
      <c r="Z8" s="20"/>
      <c r="AA8" s="21"/>
      <c r="AB8" s="21"/>
      <c r="AC8" s="21"/>
      <c r="AD8" s="21"/>
      <c r="AE8" s="21"/>
      <c r="AF8" s="14"/>
      <c r="AG8" s="14"/>
      <c r="AH8" s="14"/>
      <c r="AI8" s="14"/>
      <c r="AJ8" s="14"/>
      <c r="AK8" s="14"/>
    </row>
    <row r="9" spans="1:37" ht="12.75">
      <c r="A9" s="285" t="s">
        <v>0</v>
      </c>
      <c r="B9" s="285" t="s">
        <v>1</v>
      </c>
      <c r="C9" s="285"/>
      <c r="D9" s="285"/>
      <c r="E9" s="285"/>
      <c r="F9" s="285"/>
      <c r="G9" s="285"/>
      <c r="H9" s="285" t="s">
        <v>20</v>
      </c>
      <c r="I9" s="285" t="s">
        <v>13</v>
      </c>
      <c r="J9" s="285" t="s">
        <v>2</v>
      </c>
      <c r="K9" s="285" t="s">
        <v>21</v>
      </c>
      <c r="L9" s="285" t="s">
        <v>14</v>
      </c>
      <c r="M9" s="285"/>
      <c r="N9" s="285"/>
      <c r="O9" s="285" t="s">
        <v>54</v>
      </c>
      <c r="P9" s="285" t="s">
        <v>45</v>
      </c>
      <c r="Q9" s="285" t="s">
        <v>15</v>
      </c>
      <c r="R9" s="285" t="s">
        <v>16</v>
      </c>
      <c r="S9" s="285" t="s">
        <v>17</v>
      </c>
      <c r="T9" s="285" t="s">
        <v>18</v>
      </c>
      <c r="U9" s="285"/>
      <c r="V9" s="285"/>
      <c r="W9" s="285" t="s">
        <v>25</v>
      </c>
      <c r="X9" s="285" t="s">
        <v>24</v>
      </c>
      <c r="Y9" s="285" t="s">
        <v>37</v>
      </c>
      <c r="Z9" s="285" t="s">
        <v>52</v>
      </c>
      <c r="AA9" s="285"/>
      <c r="AB9" s="285"/>
      <c r="AC9" s="285" t="s">
        <v>49</v>
      </c>
      <c r="AD9" s="285" t="s">
        <v>50</v>
      </c>
      <c r="AE9" s="285" t="s">
        <v>3</v>
      </c>
      <c r="AF9" s="285" t="s">
        <v>55</v>
      </c>
      <c r="AG9" s="285" t="s">
        <v>51</v>
      </c>
      <c r="AH9" s="285" t="s">
        <v>53</v>
      </c>
      <c r="AI9" s="282"/>
      <c r="AJ9" s="288"/>
      <c r="AK9" s="295" t="s">
        <v>4</v>
      </c>
    </row>
    <row r="10" spans="1:37" ht="12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91"/>
      <c r="R10" s="291"/>
      <c r="S10" s="291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3"/>
      <c r="AJ10" s="289"/>
      <c r="AK10" s="296"/>
    </row>
    <row r="11" spans="1:37" ht="104.2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92"/>
      <c r="R11" s="292"/>
      <c r="S11" s="292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4"/>
      <c r="AJ11" s="290"/>
      <c r="AK11" s="297"/>
    </row>
    <row r="12" spans="1:37" ht="15.75">
      <c r="A12" s="89" t="s">
        <v>38</v>
      </c>
      <c r="B12" s="250">
        <v>7922</v>
      </c>
      <c r="C12" s="251"/>
      <c r="D12" s="251"/>
      <c r="E12" s="251"/>
      <c r="F12" s="251"/>
      <c r="G12" s="251"/>
      <c r="H12" s="249">
        <v>564</v>
      </c>
      <c r="I12" s="252">
        <f aca="true" t="shared" si="0" ref="I12:I18">H12/B12</f>
        <v>0.07119414289320879</v>
      </c>
      <c r="J12" s="253">
        <f aca="true" t="shared" si="1" ref="J12:J17">1+I12</f>
        <v>1.0711941428932088</v>
      </c>
      <c r="K12" s="249">
        <v>564</v>
      </c>
      <c r="L12" s="254">
        <f aca="true" t="shared" si="2" ref="L12:L18">K12/B12</f>
        <v>0.07119414289320879</v>
      </c>
      <c r="M12" s="255"/>
      <c r="N12" s="255"/>
      <c r="O12" s="280">
        <v>138.9</v>
      </c>
      <c r="P12" s="256">
        <f aca="true" t="shared" si="3" ref="P12:P17">O12/O$18</f>
        <v>1.174630021141649</v>
      </c>
      <c r="Q12" s="257">
        <v>151.01</v>
      </c>
      <c r="R12" s="257">
        <v>1954.51</v>
      </c>
      <c r="S12" s="257">
        <v>4.44</v>
      </c>
      <c r="T12" s="258">
        <f aca="true" t="shared" si="4" ref="T12:T18">0.9+0.1*(0.2*Q12/Q$18+0.65*R12/R$18+0.15*S12/S$18)</f>
        <v>0.9995332453276508</v>
      </c>
      <c r="U12" s="259"/>
      <c r="V12" s="258"/>
      <c r="W12" s="258">
        <f aca="true" t="shared" si="5" ref="W12:W18">1-L12</f>
        <v>0.9288058571067912</v>
      </c>
      <c r="X12" s="258">
        <f aca="true" t="shared" si="6" ref="X12:X18">1+W12</f>
        <v>1.9288058571067912</v>
      </c>
      <c r="Y12" s="258">
        <f aca="true" t="shared" si="7" ref="Y12:Y17">0.8+0.2*AVERAGE($B$12:$B$17)/B12</f>
        <v>0.9038921147858285</v>
      </c>
      <c r="Z12" s="254">
        <f aca="true" t="shared" si="8" ref="Z12:Z18">B12/B$18</f>
        <v>0.3208456522619578</v>
      </c>
      <c r="AA12" s="260"/>
      <c r="AB12" s="261"/>
      <c r="AC12" s="261">
        <f aca="true" t="shared" si="9" ref="AC12:AC17">B12*T12*J12*Y12</f>
        <v>7666.848277737746</v>
      </c>
      <c r="AD12" s="261">
        <f aca="true" t="shared" si="10" ref="AD12:AD17">B12*X12*P12</f>
        <v>17948.346723044397</v>
      </c>
      <c r="AE12" s="261">
        <f aca="true" t="shared" si="11" ref="AE12:AE17">B12*T12*Y12</f>
        <v>7157.291074268021</v>
      </c>
      <c r="AF12" s="262">
        <f aca="true" t="shared" si="12" ref="AF12:AH18">(AC12/AC$18)/$Z12</f>
        <v>0.889838377449024</v>
      </c>
      <c r="AG12" s="262">
        <f t="shared" si="12"/>
        <v>1.2404032356001655</v>
      </c>
      <c r="AH12" s="262">
        <f t="shared" si="12"/>
        <v>0.8989828048346941</v>
      </c>
      <c r="AI12" s="187"/>
      <c r="AJ12" s="188"/>
      <c r="AK12" s="189">
        <f>AF12*'Параметры модели'!$E$35+AG12*'Параметры модели'!$E$36+AH12*'Параметры модели'!$E$37</f>
        <v>0.9508903227997705</v>
      </c>
    </row>
    <row r="13" spans="1:37" ht="15.75">
      <c r="A13" s="89" t="s">
        <v>39</v>
      </c>
      <c r="B13" s="250">
        <v>8654</v>
      </c>
      <c r="C13" s="251"/>
      <c r="D13" s="251"/>
      <c r="E13" s="251"/>
      <c r="F13" s="251"/>
      <c r="G13" s="251"/>
      <c r="H13" s="249">
        <v>479</v>
      </c>
      <c r="I13" s="252">
        <f t="shared" si="0"/>
        <v>0.0553501271088514</v>
      </c>
      <c r="J13" s="253">
        <f t="shared" si="1"/>
        <v>1.0553501271088515</v>
      </c>
      <c r="K13" s="249">
        <v>479</v>
      </c>
      <c r="L13" s="254">
        <f t="shared" si="2"/>
        <v>0.0553501271088514</v>
      </c>
      <c r="M13" s="259"/>
      <c r="N13" s="259"/>
      <c r="O13" s="281">
        <v>129.4</v>
      </c>
      <c r="P13" s="256">
        <f t="shared" si="3"/>
        <v>1.094291754756871</v>
      </c>
      <c r="Q13" s="257">
        <v>118.35</v>
      </c>
      <c r="R13" s="263">
        <v>1665.19</v>
      </c>
      <c r="S13" s="263">
        <v>4.44</v>
      </c>
      <c r="T13" s="258">
        <f t="shared" si="4"/>
        <v>0.9836909546861095</v>
      </c>
      <c r="U13" s="259"/>
      <c r="V13" s="258"/>
      <c r="W13" s="258">
        <f t="shared" si="5"/>
        <v>0.9446498728911485</v>
      </c>
      <c r="X13" s="258">
        <f t="shared" si="6"/>
        <v>1.9446498728911485</v>
      </c>
      <c r="Y13" s="258">
        <f t="shared" si="7"/>
        <v>0.8951043833294816</v>
      </c>
      <c r="Z13" s="254">
        <f t="shared" si="8"/>
        <v>0.35049208213519095</v>
      </c>
      <c r="AA13" s="260"/>
      <c r="AB13" s="261"/>
      <c r="AC13" s="261">
        <f t="shared" si="9"/>
        <v>8041.662077785578</v>
      </c>
      <c r="AD13" s="261">
        <f t="shared" si="10"/>
        <v>18415.83594080338</v>
      </c>
      <c r="AE13" s="261">
        <f t="shared" si="11"/>
        <v>7619.89966288803</v>
      </c>
      <c r="AF13" s="262">
        <f t="shared" si="12"/>
        <v>0.8543936856588124</v>
      </c>
      <c r="AG13" s="262">
        <f t="shared" si="12"/>
        <v>1.1650587459452018</v>
      </c>
      <c r="AH13" s="262">
        <f t="shared" si="12"/>
        <v>0.8761327310355999</v>
      </c>
      <c r="AI13" s="187"/>
      <c r="AJ13" s="188"/>
      <c r="AK13" s="189">
        <f>AF13*'Параметры модели'!$E$35+AG13*'Параметры модели'!$E$36+AH13*'Параметры модели'!$E$37</f>
        <v>0.9181555299384323</v>
      </c>
    </row>
    <row r="14" spans="1:37" ht="15.75">
      <c r="A14" s="89" t="s">
        <v>40</v>
      </c>
      <c r="B14" s="250">
        <v>3618</v>
      </c>
      <c r="C14" s="251"/>
      <c r="D14" s="251"/>
      <c r="E14" s="251"/>
      <c r="F14" s="251"/>
      <c r="G14" s="251"/>
      <c r="H14" s="249">
        <v>417</v>
      </c>
      <c r="I14" s="252">
        <f t="shared" si="0"/>
        <v>0.11525704809286899</v>
      </c>
      <c r="J14" s="253">
        <f t="shared" si="1"/>
        <v>1.115257048092869</v>
      </c>
      <c r="K14" s="249">
        <v>3618</v>
      </c>
      <c r="L14" s="254">
        <f t="shared" si="2"/>
        <v>1</v>
      </c>
      <c r="M14" s="259"/>
      <c r="N14" s="259"/>
      <c r="O14" s="281">
        <v>177.4</v>
      </c>
      <c r="P14" s="256">
        <f t="shared" si="3"/>
        <v>1.500211416490486</v>
      </c>
      <c r="Q14" s="257">
        <v>118.01</v>
      </c>
      <c r="R14" s="263">
        <v>3671.58</v>
      </c>
      <c r="S14" s="263">
        <v>65.87</v>
      </c>
      <c r="T14" s="258">
        <f t="shared" si="4"/>
        <v>1.1197142443040438</v>
      </c>
      <c r="U14" s="259"/>
      <c r="V14" s="258"/>
      <c r="W14" s="258">
        <f t="shared" si="5"/>
        <v>0</v>
      </c>
      <c r="X14" s="258">
        <f t="shared" si="6"/>
        <v>1</v>
      </c>
      <c r="Y14" s="258">
        <f t="shared" si="7"/>
        <v>1.0274829555924083</v>
      </c>
      <c r="Z14" s="254">
        <f t="shared" si="8"/>
        <v>0.14653112470130816</v>
      </c>
      <c r="AA14" s="260"/>
      <c r="AB14" s="261"/>
      <c r="AC14" s="261">
        <f t="shared" si="9"/>
        <v>4642.21626016623</v>
      </c>
      <c r="AD14" s="261">
        <f t="shared" si="10"/>
        <v>5427.764904862579</v>
      </c>
      <c r="AE14" s="261">
        <f t="shared" si="11"/>
        <v>4162.463055583996</v>
      </c>
      <c r="AF14" s="262">
        <f t="shared" si="12"/>
        <v>1.1797389205278241</v>
      </c>
      <c r="AG14" s="262">
        <f t="shared" si="12"/>
        <v>0.8213452389153882</v>
      </c>
      <c r="AH14" s="262">
        <f t="shared" si="12"/>
        <v>1.1447729867167196</v>
      </c>
      <c r="AI14" s="187"/>
      <c r="AJ14" s="188"/>
      <c r="AK14" s="189">
        <f>AF14*'Параметры модели'!$E$35+AG14*'Параметры модели'!$E$36+AH14*'Параметры модели'!$E$37</f>
        <v>1.0991776703002163</v>
      </c>
    </row>
    <row r="15" spans="1:37" ht="15.75">
      <c r="A15" s="89" t="s">
        <v>41</v>
      </c>
      <c r="B15" s="250">
        <v>1413</v>
      </c>
      <c r="C15" s="251"/>
      <c r="D15" s="251"/>
      <c r="E15" s="251"/>
      <c r="F15" s="251"/>
      <c r="G15" s="251"/>
      <c r="H15" s="249"/>
      <c r="I15" s="252">
        <f t="shared" si="0"/>
        <v>0</v>
      </c>
      <c r="J15" s="253">
        <f t="shared" si="1"/>
        <v>1</v>
      </c>
      <c r="K15" s="249">
        <v>1413</v>
      </c>
      <c r="L15" s="254">
        <f t="shared" si="2"/>
        <v>1</v>
      </c>
      <c r="M15" s="259"/>
      <c r="N15" s="259"/>
      <c r="O15" s="281">
        <v>105.2</v>
      </c>
      <c r="P15" s="256">
        <f t="shared" si="3"/>
        <v>0.8896405919661733</v>
      </c>
      <c r="Q15" s="257">
        <v>96.67</v>
      </c>
      <c r="R15" s="263">
        <v>1050.88</v>
      </c>
      <c r="S15" s="263">
        <v>2.95</v>
      </c>
      <c r="T15" s="258">
        <f t="shared" si="4"/>
        <v>0.9568491462467718</v>
      </c>
      <c r="U15" s="259"/>
      <c r="V15" s="258"/>
      <c r="W15" s="258">
        <f t="shared" si="5"/>
        <v>0</v>
      </c>
      <c r="X15" s="258">
        <f t="shared" si="6"/>
        <v>1</v>
      </c>
      <c r="Y15" s="258">
        <f t="shared" si="7"/>
        <v>1.382472281198396</v>
      </c>
      <c r="Z15" s="254">
        <f t="shared" si="8"/>
        <v>0.05722732979628205</v>
      </c>
      <c r="AA15" s="260"/>
      <c r="AB15" s="261"/>
      <c r="AC15" s="261">
        <f t="shared" si="9"/>
        <v>1869.141017249986</v>
      </c>
      <c r="AD15" s="261">
        <f t="shared" si="10"/>
        <v>1257.0621564482028</v>
      </c>
      <c r="AE15" s="261">
        <f t="shared" si="11"/>
        <v>1869.141017249986</v>
      </c>
      <c r="AF15" s="262">
        <f t="shared" si="12"/>
        <v>1.2162672352951125</v>
      </c>
      <c r="AG15" s="262">
        <f t="shared" si="12"/>
        <v>0.4870660605067577</v>
      </c>
      <c r="AH15" s="262">
        <f t="shared" si="12"/>
        <v>1.3162471671895153</v>
      </c>
      <c r="AI15" s="187"/>
      <c r="AJ15" s="188"/>
      <c r="AK15" s="189">
        <f>AF15*'Параметры модели'!$E$35+AG15*'Параметры модели'!$E$36+AH15*'Параметры модели'!$E$37</f>
        <v>1.1735684421071415</v>
      </c>
    </row>
    <row r="16" spans="1:37" ht="15.75">
      <c r="A16" s="89" t="s">
        <v>42</v>
      </c>
      <c r="B16" s="250">
        <v>1820</v>
      </c>
      <c r="C16" s="251"/>
      <c r="D16" s="251"/>
      <c r="E16" s="251"/>
      <c r="F16" s="251"/>
      <c r="G16" s="251"/>
      <c r="H16" s="249">
        <v>500</v>
      </c>
      <c r="I16" s="252">
        <f t="shared" si="0"/>
        <v>0.27472527472527475</v>
      </c>
      <c r="J16" s="253">
        <f t="shared" si="1"/>
        <v>1.2747252747252746</v>
      </c>
      <c r="K16" s="249">
        <v>1820</v>
      </c>
      <c r="L16" s="254">
        <f t="shared" si="2"/>
        <v>1</v>
      </c>
      <c r="M16" s="259"/>
      <c r="N16" s="259"/>
      <c r="O16" s="281">
        <v>75.4</v>
      </c>
      <c r="P16" s="256">
        <f t="shared" si="3"/>
        <v>0.6376321353065539</v>
      </c>
      <c r="Q16" s="257">
        <v>97.93</v>
      </c>
      <c r="R16" s="263">
        <v>2401.63</v>
      </c>
      <c r="S16" s="263">
        <v>2.95</v>
      </c>
      <c r="T16" s="258">
        <f t="shared" si="4"/>
        <v>1.0041635012394867</v>
      </c>
      <c r="U16" s="259"/>
      <c r="V16" s="258"/>
      <c r="W16" s="258">
        <f t="shared" si="5"/>
        <v>0</v>
      </c>
      <c r="X16" s="258">
        <f t="shared" si="6"/>
        <v>1</v>
      </c>
      <c r="Y16" s="258">
        <f t="shared" si="7"/>
        <v>1.2522161172161173</v>
      </c>
      <c r="Z16" s="254">
        <f t="shared" si="8"/>
        <v>0.07371106881049776</v>
      </c>
      <c r="AA16" s="260"/>
      <c r="AB16" s="261"/>
      <c r="AC16" s="261">
        <f t="shared" si="9"/>
        <v>2917.2369517276243</v>
      </c>
      <c r="AD16" s="261">
        <f t="shared" si="10"/>
        <v>1160.490486257928</v>
      </c>
      <c r="AE16" s="261">
        <f t="shared" si="11"/>
        <v>2288.522091441498</v>
      </c>
      <c r="AF16" s="262">
        <f t="shared" si="12"/>
        <v>1.4737690080150525</v>
      </c>
      <c r="AG16" s="262">
        <f t="shared" si="12"/>
        <v>0.3490948760666306</v>
      </c>
      <c r="AH16" s="262">
        <f t="shared" si="12"/>
        <v>1.2511842376347382</v>
      </c>
      <c r="AI16" s="187"/>
      <c r="AJ16" s="188"/>
      <c r="AK16" s="189">
        <f>AF16*'Параметры модели'!$E$35+AG16*'Параметры модели'!$E$36+AH16*'Параметры модели'!$E$37</f>
        <v>1.1410173500652048</v>
      </c>
    </row>
    <row r="17" spans="1:37" ht="15.75">
      <c r="A17" s="89" t="s">
        <v>43</v>
      </c>
      <c r="B17" s="250">
        <v>1264</v>
      </c>
      <c r="C17" s="251"/>
      <c r="D17" s="251"/>
      <c r="E17" s="251"/>
      <c r="F17" s="251"/>
      <c r="G17" s="251"/>
      <c r="H17" s="249"/>
      <c r="I17" s="252">
        <f t="shared" si="0"/>
        <v>0</v>
      </c>
      <c r="J17" s="253">
        <f t="shared" si="1"/>
        <v>1</v>
      </c>
      <c r="K17" s="249">
        <v>1264</v>
      </c>
      <c r="L17" s="254">
        <f t="shared" si="2"/>
        <v>1</v>
      </c>
      <c r="M17" s="259"/>
      <c r="N17" s="259"/>
      <c r="O17" s="281">
        <v>83.2</v>
      </c>
      <c r="P17" s="256">
        <f t="shared" si="3"/>
        <v>0.7035940803382663</v>
      </c>
      <c r="Q17" s="257">
        <v>98.98</v>
      </c>
      <c r="R17" s="263">
        <v>442.59</v>
      </c>
      <c r="S17" s="263">
        <v>2.95</v>
      </c>
      <c r="T17" s="258">
        <f t="shared" si="4"/>
        <v>0.9360489081959378</v>
      </c>
      <c r="U17" s="259"/>
      <c r="V17" s="258"/>
      <c r="W17" s="258">
        <f t="shared" si="5"/>
        <v>0</v>
      </c>
      <c r="X17" s="258">
        <f t="shared" si="6"/>
        <v>1</v>
      </c>
      <c r="Y17" s="258">
        <f t="shared" si="7"/>
        <v>1.451133966244726</v>
      </c>
      <c r="Z17" s="254">
        <f t="shared" si="8"/>
        <v>0.051192742294763276</v>
      </c>
      <c r="AA17" s="260"/>
      <c r="AB17" s="261"/>
      <c r="AC17" s="261">
        <f t="shared" si="9"/>
        <v>1716.9321090432627</v>
      </c>
      <c r="AD17" s="261">
        <f t="shared" si="10"/>
        <v>889.3429175475686</v>
      </c>
      <c r="AE17" s="261">
        <f t="shared" si="11"/>
        <v>1716.9321090432627</v>
      </c>
      <c r="AF17" s="262">
        <f t="shared" si="12"/>
        <v>1.2489215234401996</v>
      </c>
      <c r="AG17" s="262">
        <f t="shared" si="12"/>
        <v>0.3852081391080061</v>
      </c>
      <c r="AH17" s="262">
        <f t="shared" si="12"/>
        <v>1.3515857120588362</v>
      </c>
      <c r="AI17" s="187"/>
      <c r="AJ17" s="188"/>
      <c r="AK17" s="189">
        <f>AF17*'Параметры модели'!$E$35+AG17*'Параметры модели'!$E$36+AH17*'Параметры модели'!$E$37</f>
        <v>1.1871837893439676</v>
      </c>
    </row>
    <row r="18" spans="1:37" ht="15.75">
      <c r="A18" s="264" t="s">
        <v>44</v>
      </c>
      <c r="B18" s="265">
        <f>SUM(B12:B17)</f>
        <v>24691</v>
      </c>
      <c r="C18" s="266"/>
      <c r="D18" s="266"/>
      <c r="E18" s="266"/>
      <c r="F18" s="266"/>
      <c r="G18" s="266"/>
      <c r="H18" s="265">
        <f>SUM(H12:H17)</f>
        <v>1960</v>
      </c>
      <c r="I18" s="267">
        <f t="shared" si="0"/>
        <v>0.07938115102668988</v>
      </c>
      <c r="J18" s="266"/>
      <c r="K18" s="265">
        <f>SUM(K12:K17)</f>
        <v>9158</v>
      </c>
      <c r="L18" s="268">
        <f t="shared" si="2"/>
        <v>0.37090437811348265</v>
      </c>
      <c r="M18" s="266"/>
      <c r="N18" s="266"/>
      <c r="O18" s="266">
        <f>SUM(O12:O17)/6</f>
        <v>118.25000000000001</v>
      </c>
      <c r="P18" s="269">
        <f>SUM(P12:P17)/6</f>
        <v>1</v>
      </c>
      <c r="Q18" s="270">
        <f>SUM(Q12:Q17)/6</f>
        <v>113.49166666666667</v>
      </c>
      <c r="R18" s="270">
        <f>SUM(R12:R17)/6</f>
        <v>1864.3966666666668</v>
      </c>
      <c r="S18" s="270">
        <f>SUM(S12:S17)/6</f>
        <v>13.933333333333335</v>
      </c>
      <c r="T18" s="271">
        <f t="shared" si="4"/>
        <v>1</v>
      </c>
      <c r="U18" s="266"/>
      <c r="V18" s="271"/>
      <c r="W18" s="271">
        <f t="shared" si="5"/>
        <v>0.6290956218865174</v>
      </c>
      <c r="X18" s="271">
        <f t="shared" si="6"/>
        <v>1.6290956218865174</v>
      </c>
      <c r="Y18" s="271"/>
      <c r="Z18" s="268">
        <f t="shared" si="8"/>
        <v>1</v>
      </c>
      <c r="AA18" s="265"/>
      <c r="AB18" s="266"/>
      <c r="AC18" s="266">
        <f>SUM(AC12:AC17)</f>
        <v>26854.036693710426</v>
      </c>
      <c r="AD18" s="266">
        <f>SUM(AD12:AD17)</f>
        <v>45098.84312896406</v>
      </c>
      <c r="AE18" s="266">
        <f>SUM(AE12:AE17)</f>
        <v>24814.249010474796</v>
      </c>
      <c r="AF18" s="272">
        <f t="shared" si="12"/>
        <v>1</v>
      </c>
      <c r="AG18" s="272">
        <f t="shared" si="12"/>
        <v>1</v>
      </c>
      <c r="AH18" s="272">
        <f t="shared" si="12"/>
        <v>1</v>
      </c>
      <c r="AI18" s="190"/>
      <c r="AJ18" s="191"/>
      <c r="AK18" s="191">
        <f>AF18*'Параметры модели'!$E$35+AG18*'Параметры модели'!$E$36+AH18*'Параметры модели'!$E$37</f>
        <v>0.9999999999999999</v>
      </c>
    </row>
    <row r="19" spans="2:37" ht="12.7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08"/>
      <c r="AC19" s="108"/>
      <c r="AD19" s="108"/>
      <c r="AE19" s="108"/>
      <c r="AF19" s="107"/>
      <c r="AG19" s="107"/>
      <c r="AH19" s="107"/>
      <c r="AI19" s="107"/>
      <c r="AJ19" s="107"/>
      <c r="AK19" s="107"/>
    </row>
    <row r="20" spans="2:37" ht="12.7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08"/>
      <c r="AC20" s="108"/>
      <c r="AD20" s="108"/>
      <c r="AE20" s="108"/>
      <c r="AF20" s="107"/>
      <c r="AG20" s="107"/>
      <c r="AH20" s="107"/>
      <c r="AI20" s="107"/>
      <c r="AJ20" s="107"/>
      <c r="AK20" s="107"/>
    </row>
    <row r="21" spans="2:37" ht="12.7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/>
      <c r="AB21" s="108"/>
      <c r="AC21" s="108"/>
      <c r="AD21" s="108"/>
      <c r="AE21" s="108"/>
      <c r="AF21" s="107"/>
      <c r="AG21" s="107"/>
      <c r="AH21" s="107"/>
      <c r="AI21" s="107"/>
      <c r="AJ21" s="107"/>
      <c r="AK21" s="107"/>
    </row>
    <row r="22" spans="2:37" ht="12.7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/>
      <c r="AB22" s="108"/>
      <c r="AC22" s="108"/>
      <c r="AD22" s="108"/>
      <c r="AE22" s="108"/>
      <c r="AF22" s="107"/>
      <c r="AG22" s="107"/>
      <c r="AH22" s="107"/>
      <c r="AI22" s="107"/>
      <c r="AJ22" s="107"/>
      <c r="AK22" s="107"/>
    </row>
    <row r="23" spans="2:37" ht="12.7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8"/>
      <c r="AB23" s="108"/>
      <c r="AC23" s="108"/>
      <c r="AD23" s="108"/>
      <c r="AE23" s="108"/>
      <c r="AF23" s="107"/>
      <c r="AG23" s="107"/>
      <c r="AH23" s="107"/>
      <c r="AI23" s="107"/>
      <c r="AJ23" s="107"/>
      <c r="AK23" s="107"/>
    </row>
    <row r="24" spans="2:37" ht="12.7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8"/>
      <c r="AB24" s="108"/>
      <c r="AC24" s="108"/>
      <c r="AD24" s="108"/>
      <c r="AE24" s="108"/>
      <c r="AF24" s="107"/>
      <c r="AG24" s="107"/>
      <c r="AH24" s="107"/>
      <c r="AI24" s="107"/>
      <c r="AJ24" s="107"/>
      <c r="AK24" s="107"/>
    </row>
    <row r="25" spans="2:37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8"/>
      <c r="AB25" s="108"/>
      <c r="AC25" s="108"/>
      <c r="AD25" s="108"/>
      <c r="AE25" s="108"/>
      <c r="AF25" s="107"/>
      <c r="AG25" s="107"/>
      <c r="AH25" s="107"/>
      <c r="AI25" s="107"/>
      <c r="AJ25" s="107"/>
      <c r="AK25" s="107"/>
    </row>
    <row r="26" spans="2:37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8"/>
      <c r="AB26" s="108"/>
      <c r="AC26" s="108"/>
      <c r="AD26" s="108"/>
      <c r="AE26" s="108"/>
      <c r="AF26" s="107"/>
      <c r="AG26" s="107"/>
      <c r="AH26" s="107"/>
      <c r="AI26" s="107"/>
      <c r="AJ26" s="107"/>
      <c r="AK26" s="107"/>
    </row>
    <row r="27" spans="2:37" ht="12.7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8"/>
      <c r="AB27" s="108"/>
      <c r="AC27" s="108"/>
      <c r="AD27" s="108"/>
      <c r="AE27" s="108"/>
      <c r="AF27" s="107"/>
      <c r="AG27" s="107"/>
      <c r="AH27" s="107"/>
      <c r="AI27" s="107"/>
      <c r="AJ27" s="107"/>
      <c r="AK27" s="107"/>
    </row>
    <row r="28" spans="2:37" ht="12.7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8"/>
      <c r="AB28" s="108"/>
      <c r="AC28" s="108"/>
      <c r="AD28" s="108"/>
      <c r="AE28" s="108"/>
      <c r="AF28" s="107"/>
      <c r="AG28" s="107"/>
      <c r="AH28" s="107"/>
      <c r="AI28" s="107"/>
      <c r="AJ28" s="107"/>
      <c r="AK28" s="107"/>
    </row>
    <row r="29" spans="2:37" ht="12.7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8"/>
      <c r="AB29" s="108"/>
      <c r="AC29" s="108"/>
      <c r="AD29" s="108"/>
      <c r="AE29" s="108"/>
      <c r="AF29" s="107"/>
      <c r="AG29" s="107"/>
      <c r="AH29" s="107"/>
      <c r="AI29" s="107"/>
      <c r="AJ29" s="107"/>
      <c r="AK29" s="107"/>
    </row>
    <row r="30" spans="2:37" ht="12.7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8"/>
      <c r="AB30" s="108"/>
      <c r="AC30" s="108"/>
      <c r="AD30" s="108"/>
      <c r="AE30" s="108"/>
      <c r="AF30" s="107"/>
      <c r="AG30" s="107"/>
      <c r="AH30" s="107"/>
      <c r="AI30" s="107"/>
      <c r="AJ30" s="107"/>
      <c r="AK30" s="107"/>
    </row>
    <row r="31" spans="2:37" ht="12.7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8"/>
      <c r="AB31" s="108"/>
      <c r="AC31" s="108"/>
      <c r="AD31" s="108"/>
      <c r="AE31" s="108"/>
      <c r="AF31" s="107"/>
      <c r="AG31" s="107"/>
      <c r="AH31" s="107"/>
      <c r="AI31" s="107"/>
      <c r="AJ31" s="107"/>
      <c r="AK31" s="107"/>
    </row>
    <row r="32" spans="2:37" ht="12.7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/>
      <c r="AB32" s="108"/>
      <c r="AC32" s="108"/>
      <c r="AD32" s="108"/>
      <c r="AE32" s="108"/>
      <c r="AF32" s="107"/>
      <c r="AG32" s="107"/>
      <c r="AH32" s="107"/>
      <c r="AI32" s="107"/>
      <c r="AJ32" s="107"/>
      <c r="AK32" s="107"/>
    </row>
    <row r="33" spans="2:37" ht="12.7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8"/>
      <c r="AB33" s="108"/>
      <c r="AC33" s="108"/>
      <c r="AD33" s="108"/>
      <c r="AE33" s="108"/>
      <c r="AF33" s="107"/>
      <c r="AG33" s="107"/>
      <c r="AH33" s="107"/>
      <c r="AI33" s="107"/>
      <c r="AJ33" s="107"/>
      <c r="AK33" s="107"/>
    </row>
    <row r="34" spans="2:37" ht="12.7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8"/>
      <c r="AB34" s="108"/>
      <c r="AC34" s="108"/>
      <c r="AD34" s="108"/>
      <c r="AE34" s="108"/>
      <c r="AF34" s="107"/>
      <c r="AG34" s="107"/>
      <c r="AH34" s="107"/>
      <c r="AI34" s="107"/>
      <c r="AJ34" s="107"/>
      <c r="AK34" s="107"/>
    </row>
    <row r="35" spans="2:37" ht="12.7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8"/>
      <c r="AB35" s="108"/>
      <c r="AC35" s="108"/>
      <c r="AD35" s="108"/>
      <c r="AE35" s="108"/>
      <c r="AF35" s="107"/>
      <c r="AG35" s="107"/>
      <c r="AH35" s="107"/>
      <c r="AI35" s="107"/>
      <c r="AJ35" s="107"/>
      <c r="AK35" s="107"/>
    </row>
    <row r="36" spans="2:37" ht="12.7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8"/>
      <c r="AB36" s="108"/>
      <c r="AC36" s="108"/>
      <c r="AD36" s="108"/>
      <c r="AE36" s="108"/>
      <c r="AF36" s="107"/>
      <c r="AG36" s="107"/>
      <c r="AH36" s="107"/>
      <c r="AI36" s="107"/>
      <c r="AJ36" s="107"/>
      <c r="AK36" s="107"/>
    </row>
    <row r="37" spans="2:37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8"/>
      <c r="AB37" s="108"/>
      <c r="AC37" s="108"/>
      <c r="AD37" s="108"/>
      <c r="AE37" s="108"/>
      <c r="AF37" s="107"/>
      <c r="AG37" s="107"/>
      <c r="AH37" s="107"/>
      <c r="AI37" s="107"/>
      <c r="AJ37" s="107"/>
      <c r="AK37" s="107"/>
    </row>
    <row r="38" spans="2:37" ht="12.7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/>
      <c r="AB38" s="108"/>
      <c r="AC38" s="108"/>
      <c r="AD38" s="108"/>
      <c r="AE38" s="108"/>
      <c r="AF38" s="107"/>
      <c r="AG38" s="107"/>
      <c r="AH38" s="107"/>
      <c r="AI38" s="107"/>
      <c r="AJ38" s="107"/>
      <c r="AK38" s="107"/>
    </row>
    <row r="39" spans="2:37" ht="12.7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8"/>
      <c r="AB39" s="108"/>
      <c r="AC39" s="108"/>
      <c r="AD39" s="108"/>
      <c r="AE39" s="108"/>
      <c r="AF39" s="107"/>
      <c r="AG39" s="107"/>
      <c r="AH39" s="107"/>
      <c r="AI39" s="107"/>
      <c r="AJ39" s="107"/>
      <c r="AK39" s="107"/>
    </row>
    <row r="40" spans="2:37" ht="12.7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B40" s="108"/>
      <c r="AC40" s="108"/>
      <c r="AD40" s="108"/>
      <c r="AE40" s="108"/>
      <c r="AF40" s="107"/>
      <c r="AG40" s="107"/>
      <c r="AH40" s="107"/>
      <c r="AI40" s="107"/>
      <c r="AJ40" s="107"/>
      <c r="AK40" s="107"/>
    </row>
    <row r="41" spans="2:37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/>
      <c r="AB41" s="108"/>
      <c r="AC41" s="108"/>
      <c r="AD41" s="108"/>
      <c r="AE41" s="108"/>
      <c r="AF41" s="107"/>
      <c r="AG41" s="107"/>
      <c r="AH41" s="107"/>
      <c r="AI41" s="107"/>
      <c r="AJ41" s="107"/>
      <c r="AK41" s="107"/>
    </row>
    <row r="42" spans="2:37" ht="12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B42" s="108"/>
      <c r="AC42" s="108"/>
      <c r="AD42" s="108"/>
      <c r="AE42" s="108"/>
      <c r="AF42" s="107"/>
      <c r="AG42" s="107"/>
      <c r="AH42" s="107"/>
      <c r="AI42" s="107"/>
      <c r="AJ42" s="107"/>
      <c r="AK42" s="107"/>
    </row>
    <row r="43" ht="12.75"/>
    <row r="44" spans="1:37" ht="15.75">
      <c r="A44" s="10"/>
      <c r="B44" s="277" t="s">
        <v>99</v>
      </c>
      <c r="C44" s="54"/>
      <c r="D44" s="54"/>
      <c r="E44" s="54"/>
      <c r="F44" s="54"/>
      <c r="G44" s="67"/>
      <c r="H44" s="54"/>
      <c r="I44" s="68"/>
      <c r="J44" s="69"/>
      <c r="K44" s="11"/>
      <c r="L44" s="15"/>
      <c r="M44" s="12"/>
      <c r="N44" s="12"/>
      <c r="O44" s="16"/>
      <c r="P44" s="17"/>
      <c r="Q44" s="18"/>
      <c r="R44" s="18"/>
      <c r="S44" s="18"/>
      <c r="T44" s="12"/>
      <c r="U44" s="17"/>
      <c r="V44" s="12"/>
      <c r="W44" s="17"/>
      <c r="X44" s="17"/>
      <c r="Y44" s="19"/>
      <c r="Z44" s="20"/>
      <c r="AA44" s="21"/>
      <c r="AB44" s="21"/>
      <c r="AC44" s="21"/>
      <c r="AD44" s="21"/>
      <c r="AE44" s="21"/>
      <c r="AF44" s="14"/>
      <c r="AG44" s="14"/>
      <c r="AH44" s="14"/>
      <c r="AI44" s="14"/>
      <c r="AJ44" s="14"/>
      <c r="AK44" s="14"/>
    </row>
    <row r="45" spans="1:37" ht="12.75">
      <c r="A45" s="10"/>
      <c r="B45" s="11"/>
      <c r="C45" s="11"/>
      <c r="D45" s="11"/>
      <c r="E45" s="11"/>
      <c r="F45" s="11"/>
      <c r="G45" s="12"/>
      <c r="H45" s="11"/>
      <c r="I45" s="13"/>
      <c r="J45" s="14"/>
      <c r="K45" s="11"/>
      <c r="L45" s="15"/>
      <c r="M45" s="12"/>
      <c r="N45" s="12"/>
      <c r="O45" s="16"/>
      <c r="P45" s="17"/>
      <c r="Q45" s="18"/>
      <c r="R45" s="18"/>
      <c r="S45" s="18"/>
      <c r="T45" s="12"/>
      <c r="U45" s="17"/>
      <c r="V45" s="12"/>
      <c r="W45" s="17"/>
      <c r="X45" s="17"/>
      <c r="Y45" s="19"/>
      <c r="Z45" s="20"/>
      <c r="AA45" s="21"/>
      <c r="AB45" s="21"/>
      <c r="AC45" s="21"/>
      <c r="AD45" s="21"/>
      <c r="AE45" s="21"/>
      <c r="AF45" s="14"/>
      <c r="AG45" s="14"/>
      <c r="AH45" s="14"/>
      <c r="AI45" s="14"/>
      <c r="AJ45" s="14"/>
      <c r="AK45" s="14"/>
    </row>
    <row r="46" spans="1:37" ht="12.75">
      <c r="A46" s="282" t="s">
        <v>0</v>
      </c>
      <c r="B46" s="282" t="s">
        <v>1</v>
      </c>
      <c r="C46" s="282"/>
      <c r="D46" s="282"/>
      <c r="E46" s="282"/>
      <c r="F46" s="282"/>
      <c r="G46" s="282"/>
      <c r="H46" s="282" t="s">
        <v>20</v>
      </c>
      <c r="I46" s="282" t="s">
        <v>13</v>
      </c>
      <c r="J46" s="282" t="s">
        <v>2</v>
      </c>
      <c r="K46" s="282" t="s">
        <v>21</v>
      </c>
      <c r="L46" s="282" t="s">
        <v>14</v>
      </c>
      <c r="M46" s="282"/>
      <c r="N46" s="282"/>
      <c r="O46" s="282" t="s">
        <v>54</v>
      </c>
      <c r="P46" s="282" t="s">
        <v>45</v>
      </c>
      <c r="Q46" s="282" t="s">
        <v>15</v>
      </c>
      <c r="R46" s="282" t="s">
        <v>16</v>
      </c>
      <c r="S46" s="282" t="s">
        <v>17</v>
      </c>
      <c r="T46" s="282" t="s">
        <v>18</v>
      </c>
      <c r="U46" s="282"/>
      <c r="V46" s="282"/>
      <c r="W46" s="282" t="s">
        <v>25</v>
      </c>
      <c r="X46" s="282" t="s">
        <v>24</v>
      </c>
      <c r="Y46" s="282" t="s">
        <v>37</v>
      </c>
      <c r="Z46" s="282" t="s">
        <v>52</v>
      </c>
      <c r="AA46" s="282"/>
      <c r="AB46" s="282"/>
      <c r="AC46" s="282" t="s">
        <v>49</v>
      </c>
      <c r="AD46" s="282" t="s">
        <v>50</v>
      </c>
      <c r="AE46" s="282" t="s">
        <v>3</v>
      </c>
      <c r="AF46" s="282" t="s">
        <v>55</v>
      </c>
      <c r="AG46" s="282" t="s">
        <v>51</v>
      </c>
      <c r="AH46" s="282" t="s">
        <v>53</v>
      </c>
      <c r="AI46" s="282"/>
      <c r="AJ46" s="288"/>
      <c r="AK46" s="282" t="s">
        <v>4</v>
      </c>
    </row>
    <row r="47" spans="1:37" ht="12.75">
      <c r="A47" s="283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93"/>
      <c r="R47" s="293"/>
      <c r="S47" s="29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9"/>
      <c r="AK47" s="283"/>
    </row>
    <row r="48" spans="1:37" ht="100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94"/>
      <c r="R48" s="294"/>
      <c r="S48" s="29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90"/>
      <c r="AK48" s="284"/>
    </row>
    <row r="49" spans="1:37" ht="15.75">
      <c r="A49" s="89" t="s">
        <v>38</v>
      </c>
      <c r="B49" s="250">
        <v>7922</v>
      </c>
      <c r="C49" s="251"/>
      <c r="D49" s="251"/>
      <c r="E49" s="251"/>
      <c r="F49" s="251"/>
      <c r="G49" s="251"/>
      <c r="H49" s="246">
        <v>564</v>
      </c>
      <c r="I49" s="247">
        <f aca="true" t="shared" si="13" ref="I49:I55">H49/B49</f>
        <v>0.07119414289320879</v>
      </c>
      <c r="J49" s="225">
        <f aca="true" t="shared" si="14" ref="J49:J54">1+I49</f>
        <v>1.0711941428932088</v>
      </c>
      <c r="K49" s="246">
        <v>564</v>
      </c>
      <c r="L49" s="248">
        <f aca="true" t="shared" si="15" ref="L49:L55">K49/B49</f>
        <v>0.07119414289320879</v>
      </c>
      <c r="M49" s="255"/>
      <c r="N49" s="255"/>
      <c r="O49" s="280">
        <v>152.9</v>
      </c>
      <c r="P49" s="256">
        <f aca="true" t="shared" si="16" ref="P49:P54">O49/O$55</f>
        <v>1.1743471582181262</v>
      </c>
      <c r="Q49" s="257">
        <v>151.01</v>
      </c>
      <c r="R49" s="257">
        <v>1954.51</v>
      </c>
      <c r="S49" s="257">
        <v>4.44</v>
      </c>
      <c r="T49" s="258">
        <f aca="true" t="shared" si="17" ref="T49:T55">0.9+0.1*(0.2*Q49/Q$55+0.65*R49/R$55+0.15*S49/S$55)</f>
        <v>0.9995332453276508</v>
      </c>
      <c r="U49" s="259"/>
      <c r="V49" s="258"/>
      <c r="W49" s="258">
        <f aca="true" t="shared" si="18" ref="W49:W55">1-L49</f>
        <v>0.9288058571067912</v>
      </c>
      <c r="X49" s="258">
        <f aca="true" t="shared" si="19" ref="X49:X55">1+W49</f>
        <v>1.9288058571067912</v>
      </c>
      <c r="Y49" s="258">
        <f aca="true" t="shared" si="20" ref="Y49:Y54">0.8+0.2*AVERAGE($B$49:$B$54)/B49</f>
        <v>0.9038921147858285</v>
      </c>
      <c r="Z49" s="254">
        <f>B49/B$55</f>
        <v>0.3208456522619578</v>
      </c>
      <c r="AA49" s="260"/>
      <c r="AB49" s="261"/>
      <c r="AC49" s="261">
        <f aca="true" t="shared" si="21" ref="AC49:AC54">B49*T49*J49*Y49</f>
        <v>7666.848277737746</v>
      </c>
      <c r="AD49" s="261">
        <f aca="true" t="shared" si="22" ref="AD49:AD54">B49*X49*P49</f>
        <v>17944.024577572967</v>
      </c>
      <c r="AE49" s="261">
        <f aca="true" t="shared" si="23" ref="AE49:AE54">B49*T49*Y49</f>
        <v>7157.291074268021</v>
      </c>
      <c r="AF49" s="262">
        <f aca="true" t="shared" si="24" ref="AF49:AH55">(AC49/AC$55)/$Z49</f>
        <v>0.889838377449024</v>
      </c>
      <c r="AG49" s="262">
        <f t="shared" si="24"/>
        <v>1.2401045074971873</v>
      </c>
      <c r="AH49" s="262">
        <f t="shared" si="24"/>
        <v>0.8989828048346941</v>
      </c>
      <c r="AI49" s="187"/>
      <c r="AJ49" s="188"/>
      <c r="AK49" s="189">
        <f>AF49*'Параметры модели'!$E$35+AG49*'Параметры модели'!$E$36+AH49*'Параметры модели'!$E$37</f>
        <v>0.9508438180057242</v>
      </c>
    </row>
    <row r="50" spans="1:37" ht="15.75">
      <c r="A50" s="89" t="s">
        <v>39</v>
      </c>
      <c r="B50" s="250">
        <v>8654</v>
      </c>
      <c r="C50" s="251"/>
      <c r="D50" s="251"/>
      <c r="E50" s="251"/>
      <c r="F50" s="251"/>
      <c r="G50" s="251"/>
      <c r="H50" s="246">
        <v>479</v>
      </c>
      <c r="I50" s="247">
        <f t="shared" si="13"/>
        <v>0.0553501271088514</v>
      </c>
      <c r="J50" s="225">
        <f t="shared" si="14"/>
        <v>1.0553501271088515</v>
      </c>
      <c r="K50" s="246">
        <v>479</v>
      </c>
      <c r="L50" s="248">
        <f t="shared" si="15"/>
        <v>0.0553501271088514</v>
      </c>
      <c r="M50" s="259"/>
      <c r="N50" s="259"/>
      <c r="O50" s="281">
        <v>142.5</v>
      </c>
      <c r="P50" s="256">
        <f t="shared" si="16"/>
        <v>1.0944700460829495</v>
      </c>
      <c r="Q50" s="257">
        <v>118.35</v>
      </c>
      <c r="R50" s="263">
        <v>1665.19</v>
      </c>
      <c r="S50" s="263">
        <v>4.44</v>
      </c>
      <c r="T50" s="258">
        <f t="shared" si="17"/>
        <v>0.9836909546861095</v>
      </c>
      <c r="U50" s="259"/>
      <c r="V50" s="258"/>
      <c r="W50" s="258">
        <f t="shared" si="18"/>
        <v>0.9446498728911485</v>
      </c>
      <c r="X50" s="258">
        <f t="shared" si="19"/>
        <v>1.9446498728911485</v>
      </c>
      <c r="Y50" s="258">
        <f t="shared" si="20"/>
        <v>0.8951043833294816</v>
      </c>
      <c r="Z50" s="254">
        <f aca="true" t="shared" si="25" ref="Z50:Z55">B50/B$55</f>
        <v>0.35049208213519095</v>
      </c>
      <c r="AA50" s="260"/>
      <c r="AB50" s="261"/>
      <c r="AC50" s="261">
        <f t="shared" si="21"/>
        <v>8041.662077785578</v>
      </c>
      <c r="AD50" s="261">
        <f t="shared" si="22"/>
        <v>18418.836405529957</v>
      </c>
      <c r="AE50" s="261">
        <f t="shared" si="23"/>
        <v>7619.89966288803</v>
      </c>
      <c r="AF50" s="262">
        <f t="shared" si="24"/>
        <v>0.8543936856588124</v>
      </c>
      <c r="AG50" s="262">
        <f t="shared" si="24"/>
        <v>1.16524854250365</v>
      </c>
      <c r="AH50" s="262">
        <f t="shared" si="24"/>
        <v>0.8761327310355999</v>
      </c>
      <c r="AI50" s="187"/>
      <c r="AJ50" s="188"/>
      <c r="AK50" s="189">
        <f>AF50*'Параметры модели'!$E$35+AG50*'Параметры модели'!$E$36+AH50*'Параметры модели'!$E$37</f>
        <v>0.9181850767061228</v>
      </c>
    </row>
    <row r="51" spans="1:37" ht="15.75">
      <c r="A51" s="89" t="s">
        <v>40</v>
      </c>
      <c r="B51" s="250">
        <v>3618</v>
      </c>
      <c r="C51" s="251"/>
      <c r="D51" s="251"/>
      <c r="E51" s="251"/>
      <c r="F51" s="251"/>
      <c r="G51" s="251"/>
      <c r="H51" s="246">
        <v>417</v>
      </c>
      <c r="I51" s="247">
        <f t="shared" si="13"/>
        <v>0.11525704809286899</v>
      </c>
      <c r="J51" s="225">
        <f t="shared" si="14"/>
        <v>1.115257048092869</v>
      </c>
      <c r="K51" s="246">
        <v>3618</v>
      </c>
      <c r="L51" s="248">
        <f t="shared" si="15"/>
        <v>1</v>
      </c>
      <c r="M51" s="259"/>
      <c r="N51" s="259"/>
      <c r="O51" s="281">
        <v>195.4</v>
      </c>
      <c r="P51" s="256">
        <f t="shared" si="16"/>
        <v>1.500768049155146</v>
      </c>
      <c r="Q51" s="257">
        <v>118.01</v>
      </c>
      <c r="R51" s="263">
        <v>3671.58</v>
      </c>
      <c r="S51" s="263">
        <v>65.87</v>
      </c>
      <c r="T51" s="258">
        <f t="shared" si="17"/>
        <v>1.1197142443040438</v>
      </c>
      <c r="U51" s="259"/>
      <c r="V51" s="258"/>
      <c r="W51" s="258">
        <f t="shared" si="18"/>
        <v>0</v>
      </c>
      <c r="X51" s="258">
        <f t="shared" si="19"/>
        <v>1</v>
      </c>
      <c r="Y51" s="258">
        <f t="shared" si="20"/>
        <v>1.0274829555924083</v>
      </c>
      <c r="Z51" s="254">
        <f t="shared" si="25"/>
        <v>0.14653112470130816</v>
      </c>
      <c r="AA51" s="260"/>
      <c r="AB51" s="261"/>
      <c r="AC51" s="261">
        <f t="shared" si="21"/>
        <v>4642.21626016623</v>
      </c>
      <c r="AD51" s="261">
        <f t="shared" si="22"/>
        <v>5429.778801843318</v>
      </c>
      <c r="AE51" s="261">
        <f t="shared" si="23"/>
        <v>4162.463055583996</v>
      </c>
      <c r="AF51" s="262">
        <f t="shared" si="24"/>
        <v>1.1797389205278241</v>
      </c>
      <c r="AG51" s="262">
        <f t="shared" si="24"/>
        <v>0.8216499702522339</v>
      </c>
      <c r="AH51" s="262">
        <f t="shared" si="24"/>
        <v>1.1447729867167196</v>
      </c>
      <c r="AI51" s="187"/>
      <c r="AJ51" s="188"/>
      <c r="AK51" s="189">
        <f>AF51*'Параметры модели'!$E$35+AG51*'Параметры модели'!$E$36+AH51*'Параметры модели'!$E$37</f>
        <v>1.0992251096536556</v>
      </c>
    </row>
    <row r="52" spans="1:37" ht="15.75">
      <c r="A52" s="89" t="s">
        <v>41</v>
      </c>
      <c r="B52" s="250">
        <v>1413</v>
      </c>
      <c r="C52" s="251"/>
      <c r="D52" s="251"/>
      <c r="E52" s="251"/>
      <c r="F52" s="251"/>
      <c r="G52" s="251"/>
      <c r="H52" s="246"/>
      <c r="I52" s="247">
        <f t="shared" si="13"/>
        <v>0</v>
      </c>
      <c r="J52" s="225">
        <f t="shared" si="14"/>
        <v>1</v>
      </c>
      <c r="K52" s="246">
        <v>1413</v>
      </c>
      <c r="L52" s="248">
        <f t="shared" si="15"/>
        <v>1</v>
      </c>
      <c r="M52" s="259"/>
      <c r="N52" s="259"/>
      <c r="O52" s="281">
        <v>115.8</v>
      </c>
      <c r="P52" s="256">
        <f t="shared" si="16"/>
        <v>0.8894009216589862</v>
      </c>
      <c r="Q52" s="257">
        <v>96.67</v>
      </c>
      <c r="R52" s="263">
        <v>1050.88</v>
      </c>
      <c r="S52" s="263">
        <v>2.95</v>
      </c>
      <c r="T52" s="258">
        <f t="shared" si="17"/>
        <v>0.9568491462467718</v>
      </c>
      <c r="U52" s="259"/>
      <c r="V52" s="258"/>
      <c r="W52" s="258">
        <f t="shared" si="18"/>
        <v>0</v>
      </c>
      <c r="X52" s="258">
        <f t="shared" si="19"/>
        <v>1</v>
      </c>
      <c r="Y52" s="258">
        <f t="shared" si="20"/>
        <v>1.382472281198396</v>
      </c>
      <c r="Z52" s="254">
        <f t="shared" si="25"/>
        <v>0.05722732979628205</v>
      </c>
      <c r="AA52" s="260"/>
      <c r="AB52" s="261"/>
      <c r="AC52" s="261">
        <f t="shared" si="21"/>
        <v>1869.141017249986</v>
      </c>
      <c r="AD52" s="261">
        <f t="shared" si="22"/>
        <v>1256.7235023041476</v>
      </c>
      <c r="AE52" s="261">
        <f t="shared" si="23"/>
        <v>1869.141017249986</v>
      </c>
      <c r="AF52" s="262">
        <f t="shared" si="24"/>
        <v>1.2162672352951125</v>
      </c>
      <c r="AG52" s="262">
        <f t="shared" si="24"/>
        <v>0.4869348339570556</v>
      </c>
      <c r="AH52" s="262">
        <f t="shared" si="24"/>
        <v>1.3162471671895153</v>
      </c>
      <c r="AI52" s="187"/>
      <c r="AJ52" s="188"/>
      <c r="AK52" s="189">
        <f>AF52*'Параметры модели'!$E$35+AG52*'Параметры модели'!$E$36+AH52*'Параметры модели'!$E$37</f>
        <v>1.1735480132837182</v>
      </c>
    </row>
    <row r="53" spans="1:37" ht="15.75">
      <c r="A53" s="89" t="s">
        <v>42</v>
      </c>
      <c r="B53" s="250">
        <v>1820</v>
      </c>
      <c r="C53" s="251"/>
      <c r="D53" s="251"/>
      <c r="E53" s="251"/>
      <c r="F53" s="251"/>
      <c r="G53" s="251"/>
      <c r="H53" s="246">
        <v>500</v>
      </c>
      <c r="I53" s="247">
        <f t="shared" si="13"/>
        <v>0.27472527472527475</v>
      </c>
      <c r="J53" s="225">
        <f t="shared" si="14"/>
        <v>1.2747252747252746</v>
      </c>
      <c r="K53" s="246">
        <v>1820</v>
      </c>
      <c r="L53" s="248">
        <f t="shared" si="15"/>
        <v>1</v>
      </c>
      <c r="M53" s="259"/>
      <c r="N53" s="259"/>
      <c r="O53" s="281">
        <v>83</v>
      </c>
      <c r="P53" s="256">
        <f t="shared" si="16"/>
        <v>0.6374807987711214</v>
      </c>
      <c r="Q53" s="257">
        <v>97.93</v>
      </c>
      <c r="R53" s="263">
        <v>2401.63</v>
      </c>
      <c r="S53" s="263">
        <v>2.95</v>
      </c>
      <c r="T53" s="258">
        <f t="shared" si="17"/>
        <v>1.0041635012394867</v>
      </c>
      <c r="U53" s="259"/>
      <c r="V53" s="258"/>
      <c r="W53" s="258">
        <f t="shared" si="18"/>
        <v>0</v>
      </c>
      <c r="X53" s="258">
        <f t="shared" si="19"/>
        <v>1</v>
      </c>
      <c r="Y53" s="258">
        <f t="shared" si="20"/>
        <v>1.2522161172161173</v>
      </c>
      <c r="Z53" s="254">
        <f t="shared" si="25"/>
        <v>0.07371106881049776</v>
      </c>
      <c r="AA53" s="260"/>
      <c r="AB53" s="261"/>
      <c r="AC53" s="261">
        <f t="shared" si="21"/>
        <v>2917.2369517276243</v>
      </c>
      <c r="AD53" s="261">
        <f t="shared" si="22"/>
        <v>1160.215053763441</v>
      </c>
      <c r="AE53" s="261">
        <f t="shared" si="23"/>
        <v>2288.522091441498</v>
      </c>
      <c r="AF53" s="262">
        <f t="shared" si="24"/>
        <v>1.4737690080150525</v>
      </c>
      <c r="AG53" s="262">
        <f t="shared" si="24"/>
        <v>0.3490120139761279</v>
      </c>
      <c r="AH53" s="262">
        <f t="shared" si="24"/>
        <v>1.2511842376347382</v>
      </c>
      <c r="AI53" s="187"/>
      <c r="AJ53" s="188"/>
      <c r="AK53" s="189">
        <f>AF53*'Параметры модели'!$E$35+AG53*'Параметры модели'!$E$36+AH53*'Параметры модели'!$E$37</f>
        <v>1.1410044504269898</v>
      </c>
    </row>
    <row r="54" spans="1:37" ht="15.75">
      <c r="A54" s="89" t="s">
        <v>43</v>
      </c>
      <c r="B54" s="250">
        <v>1264</v>
      </c>
      <c r="C54" s="251"/>
      <c r="D54" s="251"/>
      <c r="E54" s="251"/>
      <c r="F54" s="251"/>
      <c r="G54" s="251"/>
      <c r="H54" s="246"/>
      <c r="I54" s="247">
        <f t="shared" si="13"/>
        <v>0</v>
      </c>
      <c r="J54" s="225">
        <f t="shared" si="14"/>
        <v>1</v>
      </c>
      <c r="K54" s="246">
        <v>1264</v>
      </c>
      <c r="L54" s="248">
        <f t="shared" si="15"/>
        <v>1</v>
      </c>
      <c r="M54" s="259"/>
      <c r="N54" s="259"/>
      <c r="O54" s="281">
        <v>91.6</v>
      </c>
      <c r="P54" s="256">
        <f t="shared" si="16"/>
        <v>0.7035330261136713</v>
      </c>
      <c r="Q54" s="257">
        <v>98.98</v>
      </c>
      <c r="R54" s="263">
        <v>442.59</v>
      </c>
      <c r="S54" s="263">
        <v>2.95</v>
      </c>
      <c r="T54" s="258">
        <f t="shared" si="17"/>
        <v>0.9360489081959378</v>
      </c>
      <c r="U54" s="259"/>
      <c r="V54" s="258"/>
      <c r="W54" s="258">
        <f t="shared" si="18"/>
        <v>0</v>
      </c>
      <c r="X54" s="258">
        <f t="shared" si="19"/>
        <v>1</v>
      </c>
      <c r="Y54" s="258">
        <f t="shared" si="20"/>
        <v>1.451133966244726</v>
      </c>
      <c r="Z54" s="254">
        <f t="shared" si="25"/>
        <v>0.051192742294763276</v>
      </c>
      <c r="AA54" s="260"/>
      <c r="AB54" s="261"/>
      <c r="AC54" s="261">
        <f t="shared" si="21"/>
        <v>1716.9321090432627</v>
      </c>
      <c r="AD54" s="261">
        <f t="shared" si="22"/>
        <v>889.2657450076805</v>
      </c>
      <c r="AE54" s="261">
        <f t="shared" si="23"/>
        <v>1716.9321090432627</v>
      </c>
      <c r="AF54" s="262">
        <f t="shared" si="24"/>
        <v>1.2489215234401996</v>
      </c>
      <c r="AG54" s="262">
        <f t="shared" si="24"/>
        <v>0.3851747045808833</v>
      </c>
      <c r="AH54" s="262">
        <f t="shared" si="24"/>
        <v>1.3515857120588362</v>
      </c>
      <c r="AI54" s="187"/>
      <c r="AJ54" s="188"/>
      <c r="AK54" s="189">
        <f>AF54*'Параметры модели'!$E$35+AG54*'Параметры модели'!$E$36+AH54*'Параметры модели'!$E$37</f>
        <v>1.1871785843907599</v>
      </c>
    </row>
    <row r="55" spans="1:37" ht="15.75">
      <c r="A55" s="264" t="s">
        <v>44</v>
      </c>
      <c r="B55" s="265">
        <f>SUM(B49:B54)</f>
        <v>24691</v>
      </c>
      <c r="C55" s="266"/>
      <c r="D55" s="266"/>
      <c r="E55" s="266"/>
      <c r="F55" s="266"/>
      <c r="G55" s="266"/>
      <c r="H55" s="265">
        <f>SUM(H49:H54)</f>
        <v>1960</v>
      </c>
      <c r="I55" s="267">
        <f t="shared" si="13"/>
        <v>0.07938115102668988</v>
      </c>
      <c r="J55" s="266"/>
      <c r="K55" s="265">
        <f>SUM(K49:K54)</f>
        <v>9158</v>
      </c>
      <c r="L55" s="268">
        <f t="shared" si="15"/>
        <v>0.37090437811348265</v>
      </c>
      <c r="M55" s="266"/>
      <c r="N55" s="266"/>
      <c r="O55" s="266">
        <f>SUM(O49:O54)/6</f>
        <v>130.2</v>
      </c>
      <c r="P55" s="269">
        <f>SUM(P49:P54)/6</f>
        <v>1.0000000000000002</v>
      </c>
      <c r="Q55" s="270">
        <f>SUM(Q49:Q54)/6</f>
        <v>113.49166666666667</v>
      </c>
      <c r="R55" s="270">
        <f>SUM(R49:R54)/6</f>
        <v>1864.3966666666668</v>
      </c>
      <c r="S55" s="270">
        <f>SUM(S49:S54)/6</f>
        <v>13.933333333333335</v>
      </c>
      <c r="T55" s="271">
        <f t="shared" si="17"/>
        <v>1</v>
      </c>
      <c r="U55" s="266"/>
      <c r="V55" s="271"/>
      <c r="W55" s="271">
        <f t="shared" si="18"/>
        <v>0.6290956218865174</v>
      </c>
      <c r="X55" s="271">
        <f t="shared" si="19"/>
        <v>1.6290956218865174</v>
      </c>
      <c r="Y55" s="271"/>
      <c r="Z55" s="268">
        <f t="shared" si="25"/>
        <v>1</v>
      </c>
      <c r="AA55" s="265"/>
      <c r="AB55" s="266"/>
      <c r="AC55" s="266">
        <f>SUM(AC49:AC54)</f>
        <v>26854.036693710426</v>
      </c>
      <c r="AD55" s="266">
        <f>SUM(AD49:AD54)</f>
        <v>45098.84408602152</v>
      </c>
      <c r="AE55" s="266">
        <f>SUM(AE49:AE54)</f>
        <v>24814.249010474796</v>
      </c>
      <c r="AF55" s="272">
        <f t="shared" si="24"/>
        <v>1</v>
      </c>
      <c r="AG55" s="272">
        <f t="shared" si="24"/>
        <v>1</v>
      </c>
      <c r="AH55" s="272">
        <f t="shared" si="24"/>
        <v>1</v>
      </c>
      <c r="AI55" s="190"/>
      <c r="AJ55" s="191"/>
      <c r="AK55" s="191">
        <f>AF55*'Параметры модели'!$E$35+AG55*'Параметры модели'!$E$36+AH55*'Параметры модели'!$E$37</f>
        <v>0.9999999999999999</v>
      </c>
    </row>
    <row r="56" spans="2:37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/>
      <c r="AB56" s="108"/>
      <c r="AC56" s="108"/>
      <c r="AD56" s="108"/>
      <c r="AE56" s="108"/>
      <c r="AF56" s="107"/>
      <c r="AG56" s="107"/>
      <c r="AH56" s="107"/>
      <c r="AI56" s="107"/>
      <c r="AJ56" s="107"/>
      <c r="AK56" s="107"/>
    </row>
    <row r="57" ht="12.75"/>
    <row r="58" ht="12.75"/>
    <row r="59" spans="1:37" ht="15.75">
      <c r="A59" s="10"/>
      <c r="B59" s="277" t="s">
        <v>100</v>
      </c>
      <c r="C59" s="54"/>
      <c r="D59" s="54"/>
      <c r="E59" s="54"/>
      <c r="F59" s="54"/>
      <c r="G59" s="67"/>
      <c r="H59" s="54"/>
      <c r="I59" s="68"/>
      <c r="J59" s="69"/>
      <c r="K59" s="11"/>
      <c r="L59" s="15"/>
      <c r="M59" s="12"/>
      <c r="N59" s="12"/>
      <c r="O59" s="16"/>
      <c r="P59" s="17"/>
      <c r="Q59" s="18"/>
      <c r="R59" s="18"/>
      <c r="S59" s="18"/>
      <c r="T59" s="12"/>
      <c r="U59" s="17"/>
      <c r="V59" s="12"/>
      <c r="W59" s="17"/>
      <c r="X59" s="17"/>
      <c r="Y59" s="19"/>
      <c r="Z59" s="20"/>
      <c r="AA59" s="21"/>
      <c r="AB59" s="21"/>
      <c r="AC59" s="21"/>
      <c r="AD59" s="21"/>
      <c r="AE59" s="21"/>
      <c r="AF59" s="14"/>
      <c r="AG59" s="14"/>
      <c r="AH59" s="14"/>
      <c r="AI59" s="14"/>
      <c r="AJ59" s="14"/>
      <c r="AK59" s="14"/>
    </row>
    <row r="60" spans="1:37" ht="12.75">
      <c r="A60" s="10"/>
      <c r="B60" s="11"/>
      <c r="C60" s="11"/>
      <c r="D60" s="11"/>
      <c r="E60" s="11"/>
      <c r="F60" s="11"/>
      <c r="G60" s="12"/>
      <c r="H60" s="11"/>
      <c r="I60" s="13"/>
      <c r="J60" s="14"/>
      <c r="K60" s="11"/>
      <c r="L60" s="15"/>
      <c r="M60" s="12"/>
      <c r="N60" s="12"/>
      <c r="O60" s="16"/>
      <c r="P60" s="17"/>
      <c r="Q60" s="18"/>
      <c r="R60" s="18"/>
      <c r="S60" s="18"/>
      <c r="T60" s="12"/>
      <c r="U60" s="17"/>
      <c r="V60" s="12"/>
      <c r="W60" s="17"/>
      <c r="X60" s="17"/>
      <c r="Y60" s="19"/>
      <c r="Z60" s="20"/>
      <c r="AA60" s="21"/>
      <c r="AB60" s="21"/>
      <c r="AC60" s="21"/>
      <c r="AD60" s="21"/>
      <c r="AE60" s="21"/>
      <c r="AF60" s="14"/>
      <c r="AG60" s="14"/>
      <c r="AH60" s="14"/>
      <c r="AI60" s="14"/>
      <c r="AJ60" s="14"/>
      <c r="AK60" s="14"/>
    </row>
    <row r="61" spans="1:37" ht="12.75">
      <c r="A61" s="285" t="s">
        <v>0</v>
      </c>
      <c r="B61" s="285" t="s">
        <v>1</v>
      </c>
      <c r="C61" s="285"/>
      <c r="D61" s="285"/>
      <c r="E61" s="285"/>
      <c r="F61" s="285"/>
      <c r="G61" s="285"/>
      <c r="H61" s="285" t="s">
        <v>20</v>
      </c>
      <c r="I61" s="285" t="s">
        <v>13</v>
      </c>
      <c r="J61" s="285" t="s">
        <v>2</v>
      </c>
      <c r="K61" s="285" t="s">
        <v>21</v>
      </c>
      <c r="L61" s="285" t="s">
        <v>14</v>
      </c>
      <c r="M61" s="285"/>
      <c r="N61" s="285"/>
      <c r="O61" s="285" t="s">
        <v>54</v>
      </c>
      <c r="P61" s="285" t="s">
        <v>45</v>
      </c>
      <c r="Q61" s="285" t="s">
        <v>15</v>
      </c>
      <c r="R61" s="285" t="s">
        <v>16</v>
      </c>
      <c r="S61" s="285" t="s">
        <v>17</v>
      </c>
      <c r="T61" s="285" t="s">
        <v>18</v>
      </c>
      <c r="U61" s="285"/>
      <c r="V61" s="285"/>
      <c r="W61" s="285" t="s">
        <v>25</v>
      </c>
      <c r="X61" s="285" t="s">
        <v>24</v>
      </c>
      <c r="Y61" s="285" t="s">
        <v>37</v>
      </c>
      <c r="Z61" s="285" t="s">
        <v>52</v>
      </c>
      <c r="AA61" s="285"/>
      <c r="AB61" s="285"/>
      <c r="AC61" s="285" t="s">
        <v>49</v>
      </c>
      <c r="AD61" s="285" t="s">
        <v>50</v>
      </c>
      <c r="AE61" s="285" t="s">
        <v>3</v>
      </c>
      <c r="AF61" s="285" t="s">
        <v>55</v>
      </c>
      <c r="AG61" s="285" t="s">
        <v>51</v>
      </c>
      <c r="AH61" s="285" t="s">
        <v>53</v>
      </c>
      <c r="AI61" s="282"/>
      <c r="AJ61" s="288"/>
      <c r="AK61" s="282" t="s">
        <v>4</v>
      </c>
    </row>
    <row r="62" spans="1:37" ht="12.75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91"/>
      <c r="R62" s="291"/>
      <c r="S62" s="291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3"/>
      <c r="AJ62" s="289"/>
      <c r="AK62" s="283"/>
    </row>
    <row r="63" spans="1:37" ht="135" customHeight="1">
      <c r="A63" s="28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92"/>
      <c r="R63" s="292"/>
      <c r="S63" s="292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4"/>
      <c r="AJ63" s="290"/>
      <c r="AK63" s="284"/>
    </row>
    <row r="64" spans="1:37" ht="15.75">
      <c r="A64" s="89" t="s">
        <v>38</v>
      </c>
      <c r="B64" s="250">
        <v>7922</v>
      </c>
      <c r="C64" s="251"/>
      <c r="D64" s="251"/>
      <c r="E64" s="251"/>
      <c r="F64" s="251"/>
      <c r="G64" s="251"/>
      <c r="H64" s="249">
        <v>564</v>
      </c>
      <c r="I64" s="252">
        <f aca="true" t="shared" si="26" ref="I64:I70">H64/B64</f>
        <v>0.07119414289320879</v>
      </c>
      <c r="J64" s="253">
        <f aca="true" t="shared" si="27" ref="J64:J69">1+I64</f>
        <v>1.0711941428932088</v>
      </c>
      <c r="K64" s="249">
        <v>564</v>
      </c>
      <c r="L64" s="254">
        <f aca="true" t="shared" si="28" ref="L64:L70">K64/B64</f>
        <v>0.07119414289320879</v>
      </c>
      <c r="M64" s="255"/>
      <c r="N64" s="255"/>
      <c r="O64" s="278">
        <v>167</v>
      </c>
      <c r="P64" s="256">
        <f aca="true" t="shared" si="29" ref="P64:P69">O64/O$70</f>
        <v>1.1745399132575312</v>
      </c>
      <c r="Q64" s="257">
        <v>151.01</v>
      </c>
      <c r="R64" s="257">
        <v>1954.51</v>
      </c>
      <c r="S64" s="257">
        <v>4.44</v>
      </c>
      <c r="T64" s="258">
        <f aca="true" t="shared" si="30" ref="T64:T70">0.9+0.1*(0.2*Q64/Q$70+0.65*R64/R$70+0.15*S64/S$70)</f>
        <v>0.9995332453276508</v>
      </c>
      <c r="U64" s="259"/>
      <c r="V64" s="258"/>
      <c r="W64" s="258">
        <f aca="true" t="shared" si="31" ref="W64:W70">1-L64</f>
        <v>0.9288058571067912</v>
      </c>
      <c r="X64" s="258">
        <f aca="true" t="shared" si="32" ref="X64:X70">1+W64</f>
        <v>1.9288058571067912</v>
      </c>
      <c r="Y64" s="258">
        <f aca="true" t="shared" si="33" ref="Y64:Y69">0.8+0.2*AVERAGE($B$64:$B$69)/B64</f>
        <v>0.9038921147858285</v>
      </c>
      <c r="Z64" s="254">
        <f aca="true" t="shared" si="34" ref="Z64:Z70">B64/B$70</f>
        <v>0.3208456522619578</v>
      </c>
      <c r="AA64" s="260"/>
      <c r="AB64" s="261"/>
      <c r="AC64" s="261">
        <f aca="true" t="shared" si="35" ref="AC64:AC69">B64*T64*J64*Y64</f>
        <v>7666.848277737746</v>
      </c>
      <c r="AD64" s="261">
        <f aca="true" t="shared" si="36" ref="AD64:AD69">B64*X64*P64</f>
        <v>17946.969874575076</v>
      </c>
      <c r="AE64" s="261">
        <f aca="true" t="shared" si="37" ref="AE64:AE69">B64*T64*Y64</f>
        <v>7157.291074268021</v>
      </c>
      <c r="AF64" s="262">
        <f aca="true" t="shared" si="38" ref="AF64:AH70">(AC64/AC$70)/$Z64</f>
        <v>0.889838377449024</v>
      </c>
      <c r="AG64" s="262">
        <f t="shared" si="38"/>
        <v>1.2403107022114346</v>
      </c>
      <c r="AH64" s="262">
        <f t="shared" si="38"/>
        <v>0.8989828048346941</v>
      </c>
      <c r="AI64" s="187"/>
      <c r="AJ64" s="188"/>
      <c r="AK64" s="189">
        <f>AF64*'Параметры модели'!$E$35+AG64*'Параметры модели'!$E$36+AH64*'Параметры модели'!$E$37</f>
        <v>0.9508759175726009</v>
      </c>
    </row>
    <row r="65" spans="1:37" ht="15.75">
      <c r="A65" s="89" t="s">
        <v>39</v>
      </c>
      <c r="B65" s="250">
        <v>8654</v>
      </c>
      <c r="C65" s="251"/>
      <c r="D65" s="251"/>
      <c r="E65" s="251"/>
      <c r="F65" s="251"/>
      <c r="G65" s="251"/>
      <c r="H65" s="249">
        <v>479</v>
      </c>
      <c r="I65" s="252">
        <f t="shared" si="26"/>
        <v>0.0553501271088514</v>
      </c>
      <c r="J65" s="253">
        <f t="shared" si="27"/>
        <v>1.0553501271088515</v>
      </c>
      <c r="K65" s="249">
        <v>479</v>
      </c>
      <c r="L65" s="254">
        <f t="shared" si="28"/>
        <v>0.0553501271088514</v>
      </c>
      <c r="M65" s="259"/>
      <c r="N65" s="259"/>
      <c r="O65" s="279">
        <v>155.6</v>
      </c>
      <c r="P65" s="256">
        <f t="shared" si="29"/>
        <v>1.0943617395381546</v>
      </c>
      <c r="Q65" s="257">
        <v>118.35</v>
      </c>
      <c r="R65" s="263">
        <v>1665.19</v>
      </c>
      <c r="S65" s="263">
        <v>4.44</v>
      </c>
      <c r="T65" s="258">
        <f t="shared" si="30"/>
        <v>0.9836909546861095</v>
      </c>
      <c r="U65" s="259"/>
      <c r="V65" s="258"/>
      <c r="W65" s="258">
        <f t="shared" si="31"/>
        <v>0.9446498728911485</v>
      </c>
      <c r="X65" s="258">
        <f t="shared" si="32"/>
        <v>1.9446498728911485</v>
      </c>
      <c r="Y65" s="258">
        <f t="shared" si="33"/>
        <v>0.8951043833294816</v>
      </c>
      <c r="Z65" s="254">
        <f t="shared" si="34"/>
        <v>0.35049208213519095</v>
      </c>
      <c r="AA65" s="260"/>
      <c r="AB65" s="261"/>
      <c r="AC65" s="261">
        <f t="shared" si="35"/>
        <v>8041.662077785578</v>
      </c>
      <c r="AD65" s="261">
        <f t="shared" si="36"/>
        <v>18417.013714687604</v>
      </c>
      <c r="AE65" s="261">
        <f t="shared" si="37"/>
        <v>7619.89966288803</v>
      </c>
      <c r="AF65" s="262">
        <f t="shared" si="38"/>
        <v>0.8543936856588124</v>
      </c>
      <c r="AG65" s="262">
        <f t="shared" si="38"/>
        <v>1.1651357178570052</v>
      </c>
      <c r="AH65" s="262">
        <f t="shared" si="38"/>
        <v>0.8761327310355999</v>
      </c>
      <c r="AI65" s="187"/>
      <c r="AJ65" s="188"/>
      <c r="AK65" s="189">
        <f>AF65*'Параметры модели'!$E$35+AG65*'Параметры модели'!$E$36+AH65*'Параметры модели'!$E$37</f>
        <v>0.9181675126172297</v>
      </c>
    </row>
    <row r="66" spans="1:37" ht="15.75">
      <c r="A66" s="89" t="s">
        <v>40</v>
      </c>
      <c r="B66" s="250">
        <v>3618</v>
      </c>
      <c r="C66" s="251"/>
      <c r="D66" s="251"/>
      <c r="E66" s="251"/>
      <c r="F66" s="251"/>
      <c r="G66" s="251"/>
      <c r="H66" s="249">
        <v>417</v>
      </c>
      <c r="I66" s="252">
        <f t="shared" si="26"/>
        <v>0.11525704809286899</v>
      </c>
      <c r="J66" s="253">
        <f t="shared" si="27"/>
        <v>1.115257048092869</v>
      </c>
      <c r="K66" s="249">
        <v>3618</v>
      </c>
      <c r="L66" s="254">
        <f t="shared" si="28"/>
        <v>1</v>
      </c>
      <c r="M66" s="259"/>
      <c r="N66" s="259"/>
      <c r="O66" s="279">
        <v>213.3</v>
      </c>
      <c r="P66" s="256">
        <f t="shared" si="29"/>
        <v>1.5001758293283316</v>
      </c>
      <c r="Q66" s="257">
        <v>118.01</v>
      </c>
      <c r="R66" s="263">
        <v>3671.58</v>
      </c>
      <c r="S66" s="263">
        <v>65.87</v>
      </c>
      <c r="T66" s="258">
        <f t="shared" si="30"/>
        <v>1.1197142443040438</v>
      </c>
      <c r="U66" s="259"/>
      <c r="V66" s="258"/>
      <c r="W66" s="258">
        <f t="shared" si="31"/>
        <v>0</v>
      </c>
      <c r="X66" s="258">
        <f t="shared" si="32"/>
        <v>1</v>
      </c>
      <c r="Y66" s="258">
        <f t="shared" si="33"/>
        <v>1.0274829555924083</v>
      </c>
      <c r="Z66" s="254">
        <f t="shared" si="34"/>
        <v>0.14653112470130816</v>
      </c>
      <c r="AA66" s="260"/>
      <c r="AB66" s="261"/>
      <c r="AC66" s="261">
        <f t="shared" si="35"/>
        <v>4642.21626016623</v>
      </c>
      <c r="AD66" s="261">
        <f t="shared" si="36"/>
        <v>5427.636150509904</v>
      </c>
      <c r="AE66" s="261">
        <f t="shared" si="37"/>
        <v>4162.463055583996</v>
      </c>
      <c r="AF66" s="262">
        <f t="shared" si="38"/>
        <v>1.1797389205278241</v>
      </c>
      <c r="AG66" s="262">
        <f t="shared" si="38"/>
        <v>0.8213274904288098</v>
      </c>
      <c r="AH66" s="262">
        <f t="shared" si="38"/>
        <v>1.1447729867167196</v>
      </c>
      <c r="AI66" s="187"/>
      <c r="AJ66" s="188"/>
      <c r="AK66" s="189">
        <f>AF66*'Параметры модели'!$E$35+AG66*'Параметры модели'!$E$36+AH66*'Параметры модели'!$E$37</f>
        <v>1.0991749072869452</v>
      </c>
    </row>
    <row r="67" spans="1:37" ht="15.75">
      <c r="A67" s="89" t="s">
        <v>41</v>
      </c>
      <c r="B67" s="250">
        <v>1413</v>
      </c>
      <c r="C67" s="251"/>
      <c r="D67" s="251"/>
      <c r="E67" s="251"/>
      <c r="F67" s="251"/>
      <c r="G67" s="251"/>
      <c r="H67" s="249"/>
      <c r="I67" s="252">
        <f t="shared" si="26"/>
        <v>0</v>
      </c>
      <c r="J67" s="253">
        <f t="shared" si="27"/>
        <v>1</v>
      </c>
      <c r="K67" s="249">
        <v>1413</v>
      </c>
      <c r="L67" s="254">
        <f t="shared" si="28"/>
        <v>1</v>
      </c>
      <c r="M67" s="259"/>
      <c r="N67" s="259"/>
      <c r="O67" s="279">
        <v>126.5</v>
      </c>
      <c r="P67" s="256">
        <f t="shared" si="29"/>
        <v>0.8896964013597466</v>
      </c>
      <c r="Q67" s="257">
        <v>96.67</v>
      </c>
      <c r="R67" s="263">
        <v>1050.88</v>
      </c>
      <c r="S67" s="263">
        <v>2.95</v>
      </c>
      <c r="T67" s="258">
        <f t="shared" si="30"/>
        <v>0.9568491462467718</v>
      </c>
      <c r="U67" s="259"/>
      <c r="V67" s="258"/>
      <c r="W67" s="258">
        <f t="shared" si="31"/>
        <v>0</v>
      </c>
      <c r="X67" s="258">
        <f t="shared" si="32"/>
        <v>1</v>
      </c>
      <c r="Y67" s="258">
        <f t="shared" si="33"/>
        <v>1.382472281198396</v>
      </c>
      <c r="Z67" s="254">
        <f t="shared" si="34"/>
        <v>0.05722732979628205</v>
      </c>
      <c r="AA67" s="260"/>
      <c r="AB67" s="261"/>
      <c r="AC67" s="261">
        <f t="shared" si="35"/>
        <v>1869.141017249986</v>
      </c>
      <c r="AD67" s="261">
        <f t="shared" si="36"/>
        <v>1257.141015121322</v>
      </c>
      <c r="AE67" s="261">
        <f t="shared" si="37"/>
        <v>1869.141017249986</v>
      </c>
      <c r="AF67" s="262">
        <f t="shared" si="38"/>
        <v>1.2162672352951125</v>
      </c>
      <c r="AG67" s="262">
        <f t="shared" si="38"/>
        <v>0.48709764434713754</v>
      </c>
      <c r="AH67" s="262">
        <f t="shared" si="38"/>
        <v>1.3162471671895153</v>
      </c>
      <c r="AI67" s="187"/>
      <c r="AJ67" s="188"/>
      <c r="AK67" s="189">
        <f>AF67*'Параметры модели'!$E$35+AG67*'Параметры модели'!$E$36+AH67*'Параметры модели'!$E$37</f>
        <v>1.173573358952853</v>
      </c>
    </row>
    <row r="68" spans="1:37" ht="15.75">
      <c r="A68" s="89" t="s">
        <v>42</v>
      </c>
      <c r="B68" s="250">
        <v>1820</v>
      </c>
      <c r="C68" s="251"/>
      <c r="D68" s="251"/>
      <c r="E68" s="251"/>
      <c r="F68" s="251"/>
      <c r="G68" s="251"/>
      <c r="H68" s="249">
        <v>500</v>
      </c>
      <c r="I68" s="252">
        <f t="shared" si="26"/>
        <v>0.27472527472527475</v>
      </c>
      <c r="J68" s="253">
        <f t="shared" si="27"/>
        <v>1.2747252747252746</v>
      </c>
      <c r="K68" s="249">
        <v>1820</v>
      </c>
      <c r="L68" s="254">
        <f t="shared" si="28"/>
        <v>1</v>
      </c>
      <c r="M68" s="259"/>
      <c r="N68" s="259"/>
      <c r="O68" s="279">
        <v>90.7</v>
      </c>
      <c r="P68" s="256">
        <f t="shared" si="29"/>
        <v>0.6379088031883717</v>
      </c>
      <c r="Q68" s="257">
        <v>97.93</v>
      </c>
      <c r="R68" s="263">
        <v>2401.63</v>
      </c>
      <c r="S68" s="263">
        <v>2.95</v>
      </c>
      <c r="T68" s="258">
        <f t="shared" si="30"/>
        <v>1.0041635012394867</v>
      </c>
      <c r="U68" s="259"/>
      <c r="V68" s="258"/>
      <c r="W68" s="258">
        <f t="shared" si="31"/>
        <v>0</v>
      </c>
      <c r="X68" s="258">
        <f t="shared" si="32"/>
        <v>1</v>
      </c>
      <c r="Y68" s="258">
        <f t="shared" si="33"/>
        <v>1.2522161172161173</v>
      </c>
      <c r="Z68" s="254">
        <f t="shared" si="34"/>
        <v>0.07371106881049776</v>
      </c>
      <c r="AA68" s="260"/>
      <c r="AB68" s="261"/>
      <c r="AC68" s="261">
        <f t="shared" si="35"/>
        <v>2917.2369517276243</v>
      </c>
      <c r="AD68" s="261">
        <f t="shared" si="36"/>
        <v>1160.9940218028366</v>
      </c>
      <c r="AE68" s="261">
        <f t="shared" si="37"/>
        <v>2288.522091441498</v>
      </c>
      <c r="AF68" s="262">
        <f t="shared" si="38"/>
        <v>1.4737690080150525</v>
      </c>
      <c r="AG68" s="262">
        <f t="shared" si="38"/>
        <v>0.3492470857097658</v>
      </c>
      <c r="AH68" s="262">
        <f t="shared" si="38"/>
        <v>1.2511842376347382</v>
      </c>
      <c r="AI68" s="187"/>
      <c r="AJ68" s="188"/>
      <c r="AK68" s="189">
        <f>AF68*'Параметры модели'!$E$35+AG68*'Параметры модели'!$E$36+AH68*'Параметры модели'!$E$37</f>
        <v>1.1410410454525328</v>
      </c>
    </row>
    <row r="69" spans="1:37" ht="15.75">
      <c r="A69" s="89" t="s">
        <v>43</v>
      </c>
      <c r="B69" s="250">
        <v>1264</v>
      </c>
      <c r="C69" s="251"/>
      <c r="D69" s="251"/>
      <c r="E69" s="251"/>
      <c r="F69" s="251"/>
      <c r="G69" s="251"/>
      <c r="H69" s="249"/>
      <c r="I69" s="252">
        <f t="shared" si="26"/>
        <v>0</v>
      </c>
      <c r="J69" s="253">
        <f t="shared" si="27"/>
        <v>1</v>
      </c>
      <c r="K69" s="249">
        <v>1264</v>
      </c>
      <c r="L69" s="254">
        <f t="shared" si="28"/>
        <v>1</v>
      </c>
      <c r="M69" s="259"/>
      <c r="N69" s="259"/>
      <c r="O69" s="279">
        <v>100</v>
      </c>
      <c r="P69" s="256">
        <f t="shared" si="29"/>
        <v>0.703317313327863</v>
      </c>
      <c r="Q69" s="257">
        <v>98.98</v>
      </c>
      <c r="R69" s="263">
        <v>442.59</v>
      </c>
      <c r="S69" s="263">
        <v>2.95</v>
      </c>
      <c r="T69" s="258">
        <f t="shared" si="30"/>
        <v>0.9360489081959378</v>
      </c>
      <c r="U69" s="259"/>
      <c r="V69" s="258"/>
      <c r="W69" s="258">
        <f t="shared" si="31"/>
        <v>0</v>
      </c>
      <c r="X69" s="258">
        <f t="shared" si="32"/>
        <v>1</v>
      </c>
      <c r="Y69" s="258">
        <f t="shared" si="33"/>
        <v>1.451133966244726</v>
      </c>
      <c r="Z69" s="254">
        <f t="shared" si="34"/>
        <v>0.051192742294763276</v>
      </c>
      <c r="AA69" s="260"/>
      <c r="AB69" s="261"/>
      <c r="AC69" s="261">
        <f t="shared" si="35"/>
        <v>1716.9321090432627</v>
      </c>
      <c r="AD69" s="261">
        <f t="shared" si="36"/>
        <v>888.9930840464187</v>
      </c>
      <c r="AE69" s="261">
        <f t="shared" si="37"/>
        <v>1716.9321090432627</v>
      </c>
      <c r="AF69" s="262">
        <f t="shared" si="38"/>
        <v>1.2489215234401996</v>
      </c>
      <c r="AG69" s="262">
        <f t="shared" si="38"/>
        <v>0.3850574263613736</v>
      </c>
      <c r="AH69" s="262">
        <f t="shared" si="38"/>
        <v>1.3515857120588362</v>
      </c>
      <c r="AI69" s="187"/>
      <c r="AJ69" s="188"/>
      <c r="AK69" s="189">
        <f>AF69*'Параметры модели'!$E$35+AG69*'Параметры модели'!$E$36+AH69*'Параметры модели'!$E$37</f>
        <v>1.187160326987489</v>
      </c>
    </row>
    <row r="70" spans="1:37" ht="15.75">
      <c r="A70" s="264" t="s">
        <v>44</v>
      </c>
      <c r="B70" s="265">
        <f>SUM(B64:B69)</f>
        <v>24691</v>
      </c>
      <c r="C70" s="266"/>
      <c r="D70" s="266"/>
      <c r="E70" s="266"/>
      <c r="F70" s="266"/>
      <c r="G70" s="266"/>
      <c r="H70" s="265">
        <f>SUM(H64:H69)</f>
        <v>1960</v>
      </c>
      <c r="I70" s="267">
        <f t="shared" si="26"/>
        <v>0.07938115102668988</v>
      </c>
      <c r="J70" s="266"/>
      <c r="K70" s="265">
        <f>SUM(K64:K69)</f>
        <v>9158</v>
      </c>
      <c r="L70" s="268">
        <f t="shared" si="28"/>
        <v>0.37090437811348265</v>
      </c>
      <c r="M70" s="266"/>
      <c r="N70" s="266"/>
      <c r="O70" s="266">
        <f>SUM(O64:O69)/6</f>
        <v>142.18333333333337</v>
      </c>
      <c r="P70" s="269">
        <f>SUM(P64:P69)/6</f>
        <v>1</v>
      </c>
      <c r="Q70" s="270">
        <f>SUM(Q64:Q69)/6</f>
        <v>113.49166666666667</v>
      </c>
      <c r="R70" s="270">
        <f>SUM(R64:R69)/6</f>
        <v>1864.3966666666668</v>
      </c>
      <c r="S70" s="270">
        <f>SUM(S64:S69)/6</f>
        <v>13.933333333333335</v>
      </c>
      <c r="T70" s="271">
        <f t="shared" si="30"/>
        <v>1</v>
      </c>
      <c r="U70" s="266"/>
      <c r="V70" s="271"/>
      <c r="W70" s="271">
        <f t="shared" si="31"/>
        <v>0.6290956218865174</v>
      </c>
      <c r="X70" s="271">
        <f t="shared" si="32"/>
        <v>1.6290956218865174</v>
      </c>
      <c r="Y70" s="271"/>
      <c r="Z70" s="268">
        <f t="shared" si="34"/>
        <v>1</v>
      </c>
      <c r="AA70" s="265"/>
      <c r="AB70" s="266"/>
      <c r="AC70" s="266">
        <f>SUM(AC64:AC69)</f>
        <v>26854.036693710426</v>
      </c>
      <c r="AD70" s="266">
        <f>SUM(AD64:AD69)</f>
        <v>45098.74786074316</v>
      </c>
      <c r="AE70" s="266">
        <f>SUM(AE64:AE69)</f>
        <v>24814.249010474796</v>
      </c>
      <c r="AF70" s="272">
        <f t="shared" si="38"/>
        <v>1</v>
      </c>
      <c r="AG70" s="272">
        <f t="shared" si="38"/>
        <v>1</v>
      </c>
      <c r="AH70" s="272">
        <f t="shared" si="38"/>
        <v>1</v>
      </c>
      <c r="AI70" s="190"/>
      <c r="AJ70" s="191"/>
      <c r="AK70" s="189">
        <f>AF70*'Параметры модели'!$E$35+AG70*'Параметры модели'!$E$36+AH70*'Параметры модели'!$E$37</f>
        <v>0.9999999999999999</v>
      </c>
    </row>
    <row r="71" spans="2:37" ht="12.7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8"/>
      <c r="AB71" s="108"/>
      <c r="AC71" s="108"/>
      <c r="AD71" s="108"/>
      <c r="AE71" s="108"/>
      <c r="AF71" s="107"/>
      <c r="AG71" s="107"/>
      <c r="AH71" s="107"/>
      <c r="AI71" s="107"/>
      <c r="AJ71" s="107"/>
      <c r="AK71" s="107"/>
    </row>
    <row r="88" ht="12.75"/>
    <row r="89" ht="12.75"/>
    <row r="90" ht="12.75"/>
    <row r="91" ht="12.75"/>
    <row r="92" ht="12.75"/>
  </sheetData>
  <sheetProtection/>
  <mergeCells count="111">
    <mergeCell ref="E9:E11"/>
    <mergeCell ref="F9:F11"/>
    <mergeCell ref="G9:G11"/>
    <mergeCell ref="H9:H11"/>
    <mergeCell ref="A9:A11"/>
    <mergeCell ref="B9:B11"/>
    <mergeCell ref="C9:C11"/>
    <mergeCell ref="D9:D11"/>
    <mergeCell ref="M9:M11"/>
    <mergeCell ref="N9:N11"/>
    <mergeCell ref="O9:O11"/>
    <mergeCell ref="P9:P11"/>
    <mergeCell ref="I9:I11"/>
    <mergeCell ref="J9:J11"/>
    <mergeCell ref="K9:K11"/>
    <mergeCell ref="L9:L11"/>
    <mergeCell ref="U9:U11"/>
    <mergeCell ref="V9:V11"/>
    <mergeCell ref="W9:W11"/>
    <mergeCell ref="X9:X11"/>
    <mergeCell ref="Q9:Q11"/>
    <mergeCell ref="R9:R11"/>
    <mergeCell ref="S9:S11"/>
    <mergeCell ref="T9:T11"/>
    <mergeCell ref="AC9:AC11"/>
    <mergeCell ref="AD9:AD11"/>
    <mergeCell ref="AE9:AE11"/>
    <mergeCell ref="AF9:AF11"/>
    <mergeCell ref="Y9:Y11"/>
    <mergeCell ref="Z9:Z11"/>
    <mergeCell ref="AA9:AA11"/>
    <mergeCell ref="AB9:AB11"/>
    <mergeCell ref="AJ46:AJ48"/>
    <mergeCell ref="AK46:AK48"/>
    <mergeCell ref="AG9:AG11"/>
    <mergeCell ref="AH9:AH11"/>
    <mergeCell ref="AI9:AI11"/>
    <mergeCell ref="AJ9:AJ11"/>
    <mergeCell ref="G46:G48"/>
    <mergeCell ref="H46:H48"/>
    <mergeCell ref="I46:I48"/>
    <mergeCell ref="AK9:AK11"/>
    <mergeCell ref="AD46:AD48"/>
    <mergeCell ref="AE46:AE48"/>
    <mergeCell ref="AF46:AF48"/>
    <mergeCell ref="AG46:AG48"/>
    <mergeCell ref="AH46:AH48"/>
    <mergeCell ref="AI46:AI48"/>
    <mergeCell ref="A46:A48"/>
    <mergeCell ref="B46:B48"/>
    <mergeCell ref="C46:C48"/>
    <mergeCell ref="D46:D48"/>
    <mergeCell ref="E46:E48"/>
    <mergeCell ref="F46:F48"/>
    <mergeCell ref="N46:N48"/>
    <mergeCell ref="O46:O48"/>
    <mergeCell ref="P46:P48"/>
    <mergeCell ref="Q46:Q48"/>
    <mergeCell ref="J46:J48"/>
    <mergeCell ref="K46:K48"/>
    <mergeCell ref="L46:L48"/>
    <mergeCell ref="M46:M48"/>
    <mergeCell ref="AB46:AB48"/>
    <mergeCell ref="AC46:AC48"/>
    <mergeCell ref="V46:V48"/>
    <mergeCell ref="W46:W48"/>
    <mergeCell ref="X46:X48"/>
    <mergeCell ref="Y46:Y48"/>
    <mergeCell ref="A61:A63"/>
    <mergeCell ref="B61:B63"/>
    <mergeCell ref="C61:C63"/>
    <mergeCell ref="D61:D63"/>
    <mergeCell ref="Z46:Z48"/>
    <mergeCell ref="AA46:AA48"/>
    <mergeCell ref="R46:R48"/>
    <mergeCell ref="S46:S48"/>
    <mergeCell ref="T46:T48"/>
    <mergeCell ref="U46:U48"/>
    <mergeCell ref="I61:I63"/>
    <mergeCell ref="J61:J63"/>
    <mergeCell ref="K61:K63"/>
    <mergeCell ref="L61:L63"/>
    <mergeCell ref="E61:E63"/>
    <mergeCell ref="F61:F63"/>
    <mergeCell ref="G61:G63"/>
    <mergeCell ref="H61:H63"/>
    <mergeCell ref="Q61:Q63"/>
    <mergeCell ref="R61:R63"/>
    <mergeCell ref="S61:S63"/>
    <mergeCell ref="T61:T63"/>
    <mergeCell ref="M61:M63"/>
    <mergeCell ref="N61:N63"/>
    <mergeCell ref="O61:O63"/>
    <mergeCell ref="P61:P63"/>
    <mergeCell ref="Y61:Y63"/>
    <mergeCell ref="Z61:Z63"/>
    <mergeCell ref="AA61:AA63"/>
    <mergeCell ref="AB61:AB63"/>
    <mergeCell ref="U61:U63"/>
    <mergeCell ref="V61:V63"/>
    <mergeCell ref="W61:W63"/>
    <mergeCell ref="X61:X63"/>
    <mergeCell ref="AK61:AK63"/>
    <mergeCell ref="AG61:AG63"/>
    <mergeCell ref="AH61:AH63"/>
    <mergeCell ref="AI61:AI63"/>
    <mergeCell ref="AJ61:AJ63"/>
    <mergeCell ref="AC61:AC63"/>
    <mergeCell ref="AD61:AD63"/>
    <mergeCell ref="AE61:AE63"/>
    <mergeCell ref="AF61:AF63"/>
  </mergeCells>
  <printOptions/>
  <pageMargins left="0" right="0" top="0" bottom="0" header="0" footer="0"/>
  <pageSetup fitToWidth="3" horizontalDpi="600" verticalDpi="600" orientation="landscape" paperSize="9" scale="90" r:id="rId3"/>
  <headerFooter alignWithMargins="0"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="75" zoomScaleNormal="75" zoomScaleSheetLayoutView="75" zoomScalePageLayoutView="0" workbookViewId="0" topLeftCell="A1">
      <selection activeCell="E52" sqref="E52"/>
    </sheetView>
  </sheetViews>
  <sheetFormatPr defaultColWidth="12.25390625" defaultRowHeight="12.75"/>
  <cols>
    <col min="1" max="1" width="26.875" style="4" customWidth="1"/>
    <col min="2" max="2" width="20.00390625" style="4" customWidth="1"/>
    <col min="3" max="3" width="19.75390625" style="4" customWidth="1"/>
    <col min="4" max="4" width="15.75390625" style="4" customWidth="1"/>
    <col min="5" max="5" width="16.375" style="4" customWidth="1"/>
    <col min="6" max="6" width="14.25390625" style="4" customWidth="1"/>
    <col min="7" max="7" width="18.75390625" style="4" customWidth="1"/>
    <col min="8" max="8" width="14.125" style="4" customWidth="1"/>
    <col min="9" max="9" width="17.75390625" style="4" customWidth="1"/>
    <col min="10" max="16384" width="12.25390625" style="4" customWidth="1"/>
  </cols>
  <sheetData>
    <row r="1" spans="1:9" ht="12.75">
      <c r="A1" s="59"/>
      <c r="B1" s="59"/>
      <c r="C1" s="59"/>
      <c r="D1" s="59"/>
      <c r="E1" s="59"/>
      <c r="F1" s="59"/>
      <c r="G1" s="59"/>
      <c r="H1" s="171"/>
      <c r="I1" s="59"/>
    </row>
    <row r="2" spans="1:9" ht="12.75">
      <c r="A2" s="59"/>
      <c r="B2" s="59"/>
      <c r="C2" s="59"/>
      <c r="D2" s="59"/>
      <c r="E2" s="59"/>
      <c r="F2" s="59"/>
      <c r="G2" s="59"/>
      <c r="H2" s="171"/>
      <c r="I2" s="59"/>
    </row>
    <row r="8" spans="1:9" ht="15.75">
      <c r="A8" s="6"/>
      <c r="B8" s="48" t="s">
        <v>75</v>
      </c>
      <c r="C8" s="49"/>
      <c r="D8" s="49"/>
      <c r="E8" s="50"/>
      <c r="F8" s="5"/>
      <c r="G8" s="5"/>
      <c r="H8" s="5"/>
      <c r="I8" s="5"/>
    </row>
    <row r="9" ht="13.5" thickBot="1"/>
    <row r="10" spans="1:9" ht="63">
      <c r="A10" s="298" t="s">
        <v>0</v>
      </c>
      <c r="B10" s="97" t="s">
        <v>62</v>
      </c>
      <c r="C10" s="97" t="s">
        <v>22</v>
      </c>
      <c r="D10" s="97" t="s">
        <v>56</v>
      </c>
      <c r="E10" s="300" t="s">
        <v>19</v>
      </c>
      <c r="F10" s="300" t="s">
        <v>78</v>
      </c>
      <c r="G10" s="300" t="s">
        <v>79</v>
      </c>
      <c r="H10" s="300" t="s">
        <v>80</v>
      </c>
      <c r="I10" s="300" t="s">
        <v>34</v>
      </c>
    </row>
    <row r="11" spans="1:9" ht="32.25" thickBot="1">
      <c r="A11" s="299"/>
      <c r="B11" s="97" t="s">
        <v>77</v>
      </c>
      <c r="C11" s="97" t="s">
        <v>77</v>
      </c>
      <c r="D11" s="97" t="s">
        <v>77</v>
      </c>
      <c r="E11" s="301"/>
      <c r="F11" s="301"/>
      <c r="G11" s="301"/>
      <c r="H11" s="301"/>
      <c r="I11" s="301"/>
    </row>
    <row r="12" spans="1:9" ht="18.75">
      <c r="A12" s="98" t="s">
        <v>38</v>
      </c>
      <c r="B12" s="273">
        <v>1763</v>
      </c>
      <c r="C12" s="274">
        <v>29305.5</v>
      </c>
      <c r="D12" s="275">
        <v>2600</v>
      </c>
      <c r="E12" s="245">
        <v>7922</v>
      </c>
      <c r="F12" s="104">
        <f aca="true" t="shared" si="0" ref="F12:F17">B12+C12+D12</f>
        <v>33668.5</v>
      </c>
      <c r="G12" s="100">
        <f aca="true" t="shared" si="1" ref="G12:G17">F12/E12</f>
        <v>4.25</v>
      </c>
      <c r="H12" s="101">
        <f aca="true" t="shared" si="2" ref="H12:H18">(F12/E12)/(F$18/E$18)</f>
        <v>1.1039535891701049</v>
      </c>
      <c r="I12" s="100"/>
    </row>
    <row r="13" spans="1:9" ht="18.75">
      <c r="A13" s="102" t="s">
        <v>39</v>
      </c>
      <c r="B13" s="273">
        <v>1100</v>
      </c>
      <c r="C13" s="274">
        <v>19425.4</v>
      </c>
      <c r="D13" s="275">
        <v>1900</v>
      </c>
      <c r="E13" s="245">
        <v>8654</v>
      </c>
      <c r="F13" s="104">
        <f t="shared" si="0"/>
        <v>22425.4</v>
      </c>
      <c r="G13" s="100">
        <f t="shared" si="1"/>
        <v>2.5913334874046687</v>
      </c>
      <c r="H13" s="101">
        <f t="shared" si="2"/>
        <v>0.6731086833310751</v>
      </c>
      <c r="I13" s="100"/>
    </row>
    <row r="14" spans="1:9" ht="18.75">
      <c r="A14" s="102" t="s">
        <v>40</v>
      </c>
      <c r="B14" s="273">
        <v>505.2</v>
      </c>
      <c r="C14" s="274">
        <v>6922.6</v>
      </c>
      <c r="D14" s="275">
        <v>343</v>
      </c>
      <c r="E14" s="245">
        <v>3618</v>
      </c>
      <c r="F14" s="104">
        <f t="shared" si="0"/>
        <v>7770.8</v>
      </c>
      <c r="G14" s="100">
        <f t="shared" si="1"/>
        <v>2.1478164731896077</v>
      </c>
      <c r="H14" s="101">
        <f t="shared" si="2"/>
        <v>0.5579034598720809</v>
      </c>
      <c r="I14" s="100"/>
    </row>
    <row r="15" spans="1:9" ht="18.75">
      <c r="A15" s="102" t="s">
        <v>41</v>
      </c>
      <c r="B15" s="273">
        <v>63.2</v>
      </c>
      <c r="C15" s="274">
        <v>13125</v>
      </c>
      <c r="D15" s="275">
        <v>148.5</v>
      </c>
      <c r="E15" s="245">
        <v>1413</v>
      </c>
      <c r="F15" s="104">
        <f t="shared" si="0"/>
        <v>13336.7</v>
      </c>
      <c r="G15" s="100">
        <f t="shared" si="1"/>
        <v>9.43857041755131</v>
      </c>
      <c r="H15" s="101">
        <f t="shared" si="2"/>
        <v>2.4517043974330694</v>
      </c>
      <c r="I15" s="100"/>
    </row>
    <row r="16" spans="1:9" ht="18.75">
      <c r="A16" s="102" t="s">
        <v>42</v>
      </c>
      <c r="B16" s="273">
        <v>250</v>
      </c>
      <c r="C16" s="274">
        <v>8690.8</v>
      </c>
      <c r="D16" s="275">
        <v>30</v>
      </c>
      <c r="E16" s="245">
        <v>1820</v>
      </c>
      <c r="F16" s="104">
        <f t="shared" si="0"/>
        <v>8970.8</v>
      </c>
      <c r="G16" s="100">
        <f t="shared" si="1"/>
        <v>4.9290109890109886</v>
      </c>
      <c r="H16" s="101">
        <f t="shared" si="2"/>
        <v>1.28032926408884</v>
      </c>
      <c r="I16" s="100"/>
    </row>
    <row r="17" spans="1:9" ht="18.75">
      <c r="A17" s="102" t="s">
        <v>43</v>
      </c>
      <c r="B17" s="273">
        <v>40</v>
      </c>
      <c r="C17" s="274">
        <v>8823.2</v>
      </c>
      <c r="D17" s="275">
        <v>20</v>
      </c>
      <c r="E17" s="245">
        <v>1264</v>
      </c>
      <c r="F17" s="104">
        <f t="shared" si="0"/>
        <v>8883.2</v>
      </c>
      <c r="G17" s="100">
        <f t="shared" si="1"/>
        <v>7.027848101265823</v>
      </c>
      <c r="H17" s="101">
        <f t="shared" si="2"/>
        <v>1.8255101495375794</v>
      </c>
      <c r="I17" s="100"/>
    </row>
    <row r="18" spans="1:9" ht="18.75">
      <c r="A18" s="43" t="s">
        <v>57</v>
      </c>
      <c r="B18" s="103">
        <f>SUM(B12:B17)</f>
        <v>3721.3999999999996</v>
      </c>
      <c r="C18" s="103">
        <f>SUM(C12:C17)</f>
        <v>86292.5</v>
      </c>
      <c r="D18" s="103">
        <f>SUM(D12:D17)</f>
        <v>5041.5</v>
      </c>
      <c r="E18" s="44">
        <f>SUM(E12:E17)</f>
        <v>24691</v>
      </c>
      <c r="F18" s="105">
        <f>SUM(F12:F17)</f>
        <v>95055.40000000001</v>
      </c>
      <c r="G18" s="45">
        <f>F18/E18</f>
        <v>3.8497995220930705</v>
      </c>
      <c r="H18" s="46">
        <f t="shared" si="2"/>
        <v>1</v>
      </c>
      <c r="I18" s="45">
        <f>$G$18</f>
        <v>3.8497995220930705</v>
      </c>
    </row>
    <row r="19" spans="1:9" ht="12.75">
      <c r="A19" s="126"/>
      <c r="B19" s="126"/>
      <c r="C19" s="126"/>
      <c r="D19" s="126"/>
      <c r="E19" s="126"/>
      <c r="F19" s="126"/>
      <c r="G19" s="126"/>
      <c r="H19" s="167"/>
      <c r="I19" s="126"/>
    </row>
    <row r="20" spans="1:9" ht="12.75">
      <c r="A20" s="126"/>
      <c r="B20" s="126"/>
      <c r="C20" s="126"/>
      <c r="D20" s="126"/>
      <c r="E20" s="126"/>
      <c r="F20" s="126"/>
      <c r="G20" s="126"/>
      <c r="H20" s="167"/>
      <c r="I20" s="126"/>
    </row>
    <row r="21" spans="1:9" ht="12.75">
      <c r="A21" s="126"/>
      <c r="B21" s="126"/>
      <c r="C21" s="126"/>
      <c r="D21" s="126"/>
      <c r="E21" s="126"/>
      <c r="F21" s="126"/>
      <c r="G21" s="126"/>
      <c r="H21" s="167"/>
      <c r="I21" s="126"/>
    </row>
    <row r="22" spans="1:9" ht="12.75">
      <c r="A22" s="126"/>
      <c r="B22" s="126"/>
      <c r="C22" s="126"/>
      <c r="D22" s="126"/>
      <c r="E22" s="126"/>
      <c r="F22" s="126"/>
      <c r="G22" s="126"/>
      <c r="H22" s="167"/>
      <c r="I22" s="126"/>
    </row>
    <row r="23" spans="1:9" ht="12.75">
      <c r="A23" s="126"/>
      <c r="B23" s="126"/>
      <c r="C23" s="126"/>
      <c r="D23" s="126"/>
      <c r="E23" s="126"/>
      <c r="F23" s="126"/>
      <c r="G23" s="126"/>
      <c r="H23" s="167"/>
      <c r="I23" s="126"/>
    </row>
    <row r="24" spans="1:9" ht="12.75">
      <c r="A24" s="126"/>
      <c r="B24" s="126"/>
      <c r="C24" s="126"/>
      <c r="D24" s="126"/>
      <c r="E24" s="126"/>
      <c r="F24" s="126"/>
      <c r="G24" s="126"/>
      <c r="H24" s="167"/>
      <c r="I24" s="126"/>
    </row>
    <row r="25" spans="1:9" ht="12.75">
      <c r="A25" s="126"/>
      <c r="B25" s="126"/>
      <c r="C25" s="126"/>
      <c r="D25" s="126"/>
      <c r="E25" s="126"/>
      <c r="F25" s="126"/>
      <c r="G25" s="126"/>
      <c r="H25" s="167"/>
      <c r="I25" s="126"/>
    </row>
    <row r="26" spans="1:9" ht="12.75">
      <c r="A26" s="126"/>
      <c r="B26" s="126"/>
      <c r="C26" s="126"/>
      <c r="D26" s="126"/>
      <c r="E26" s="126"/>
      <c r="F26" s="126"/>
      <c r="G26" s="126"/>
      <c r="H26" s="167"/>
      <c r="I26" s="126"/>
    </row>
    <row r="27" spans="1:9" ht="12.75">
      <c r="A27" s="126"/>
      <c r="B27" s="126"/>
      <c r="C27" s="126"/>
      <c r="D27" s="126"/>
      <c r="E27" s="126"/>
      <c r="F27" s="126"/>
      <c r="G27" s="126"/>
      <c r="H27" s="167"/>
      <c r="I27" s="126"/>
    </row>
    <row r="28" spans="1:9" ht="12.75">
      <c r="A28" s="126"/>
      <c r="B28" s="126"/>
      <c r="C28" s="126"/>
      <c r="D28" s="126"/>
      <c r="E28" s="126"/>
      <c r="F28" s="126"/>
      <c r="G28" s="126"/>
      <c r="H28" s="167"/>
      <c r="I28" s="126"/>
    </row>
    <row r="29" spans="1:9" ht="12.75">
      <c r="A29" s="126"/>
      <c r="B29" s="126"/>
      <c r="C29" s="126"/>
      <c r="D29" s="126"/>
      <c r="E29" s="126"/>
      <c r="F29" s="126"/>
      <c r="G29" s="126"/>
      <c r="H29" s="167"/>
      <c r="I29" s="126"/>
    </row>
    <row r="30" spans="1:9" ht="12.75">
      <c r="A30" s="126"/>
      <c r="B30" s="126"/>
      <c r="C30" s="126"/>
      <c r="D30" s="126"/>
      <c r="E30" s="126"/>
      <c r="F30" s="126"/>
      <c r="G30" s="126"/>
      <c r="H30" s="167"/>
      <c r="I30" s="126"/>
    </row>
    <row r="31" spans="1:9" ht="12.75">
      <c r="A31" s="126"/>
      <c r="B31" s="126"/>
      <c r="C31" s="126"/>
      <c r="D31" s="126"/>
      <c r="E31" s="126"/>
      <c r="F31" s="126"/>
      <c r="G31" s="126"/>
      <c r="H31" s="167"/>
      <c r="I31" s="126"/>
    </row>
    <row r="32" spans="1:9" ht="12.75">
      <c r="A32" s="126"/>
      <c r="B32" s="126"/>
      <c r="C32" s="126"/>
      <c r="D32" s="126"/>
      <c r="E32" s="126"/>
      <c r="F32" s="126"/>
      <c r="G32" s="126"/>
      <c r="H32" s="167"/>
      <c r="I32" s="126"/>
    </row>
    <row r="33" spans="1:9" ht="12.75">
      <c r="A33" s="126"/>
      <c r="B33" s="126"/>
      <c r="C33" s="126"/>
      <c r="D33" s="126"/>
      <c r="E33" s="126"/>
      <c r="F33" s="126"/>
      <c r="G33" s="126"/>
      <c r="H33" s="167"/>
      <c r="I33" s="126"/>
    </row>
    <row r="34" spans="1:9" ht="12.75">
      <c r="A34" s="126"/>
      <c r="B34" s="126"/>
      <c r="C34" s="126"/>
      <c r="D34" s="126"/>
      <c r="E34" s="126"/>
      <c r="F34" s="126"/>
      <c r="G34" s="126"/>
      <c r="H34" s="167"/>
      <c r="I34" s="126"/>
    </row>
    <row r="35" spans="1:9" ht="12.75">
      <c r="A35" s="126"/>
      <c r="B35" s="126"/>
      <c r="C35" s="126"/>
      <c r="D35" s="126"/>
      <c r="E35" s="126"/>
      <c r="F35" s="126"/>
      <c r="G35" s="126"/>
      <c r="H35" s="167"/>
      <c r="I35" s="126"/>
    </row>
    <row r="36" spans="1:9" ht="12.75">
      <c r="A36" s="126"/>
      <c r="B36" s="126"/>
      <c r="C36" s="126"/>
      <c r="D36" s="126"/>
      <c r="E36" s="126"/>
      <c r="F36" s="126"/>
      <c r="G36" s="126"/>
      <c r="H36" s="167"/>
      <c r="I36" s="126"/>
    </row>
    <row r="37" spans="1:9" ht="12.75">
      <c r="A37" s="126"/>
      <c r="B37" s="126"/>
      <c r="C37" s="126"/>
      <c r="D37" s="126"/>
      <c r="E37" s="126"/>
      <c r="F37" s="126"/>
      <c r="G37" s="126"/>
      <c r="H37" s="167"/>
      <c r="I37" s="126"/>
    </row>
    <row r="38" spans="1:9" ht="12.75">
      <c r="A38" s="126"/>
      <c r="B38" s="126"/>
      <c r="C38" s="126"/>
      <c r="D38" s="126"/>
      <c r="E38" s="126"/>
      <c r="F38" s="126"/>
      <c r="G38" s="126"/>
      <c r="H38" s="167"/>
      <c r="I38" s="126"/>
    </row>
    <row r="39" spans="1:9" ht="12.75">
      <c r="A39" s="126"/>
      <c r="B39" s="126"/>
      <c r="C39" s="126"/>
      <c r="D39" s="126"/>
      <c r="E39" s="126"/>
      <c r="F39" s="126"/>
      <c r="G39" s="126"/>
      <c r="H39" s="167"/>
      <c r="I39" s="126"/>
    </row>
    <row r="40" spans="1:9" ht="12.75">
      <c r="A40" s="126"/>
      <c r="B40" s="126"/>
      <c r="C40" s="126"/>
      <c r="D40" s="126"/>
      <c r="E40" s="126"/>
      <c r="F40" s="126"/>
      <c r="G40" s="126"/>
      <c r="H40" s="167"/>
      <c r="I40" s="126"/>
    </row>
    <row r="41" spans="1:9" ht="12.75">
      <c r="A41" s="126"/>
      <c r="B41" s="126"/>
      <c r="C41" s="126"/>
      <c r="D41" s="126"/>
      <c r="E41" s="126"/>
      <c r="F41" s="126"/>
      <c r="G41" s="126"/>
      <c r="H41" s="167"/>
      <c r="I41" s="126"/>
    </row>
    <row r="42" spans="1:9" ht="12.75">
      <c r="A42" s="126"/>
      <c r="B42" s="126"/>
      <c r="C42" s="126"/>
      <c r="D42" s="126"/>
      <c r="E42" s="126"/>
      <c r="F42" s="126"/>
      <c r="G42" s="126"/>
      <c r="H42" s="167"/>
      <c r="I42" s="126"/>
    </row>
    <row r="45" spans="1:9" ht="15.75">
      <c r="A45" s="6"/>
      <c r="B45" s="51" t="s">
        <v>76</v>
      </c>
      <c r="C45" s="52"/>
      <c r="D45" s="52"/>
      <c r="E45" s="53"/>
      <c r="F45" s="5"/>
      <c r="G45" s="5"/>
      <c r="H45" s="5"/>
      <c r="I45" s="5"/>
    </row>
    <row r="46" ht="13.5" thickBot="1"/>
    <row r="47" spans="1:9" ht="63">
      <c r="A47" s="298" t="s">
        <v>0</v>
      </c>
      <c r="B47" s="97" t="s">
        <v>62</v>
      </c>
      <c r="C47" s="97" t="s">
        <v>22</v>
      </c>
      <c r="D47" s="97" t="s">
        <v>56</v>
      </c>
      <c r="E47" s="300" t="s">
        <v>19</v>
      </c>
      <c r="F47" s="300" t="s">
        <v>82</v>
      </c>
      <c r="G47" s="300" t="s">
        <v>83</v>
      </c>
      <c r="H47" s="300" t="s">
        <v>84</v>
      </c>
      <c r="I47" s="300" t="s">
        <v>34</v>
      </c>
    </row>
    <row r="48" spans="1:9" ht="32.25" thickBot="1">
      <c r="A48" s="299"/>
      <c r="B48" s="97" t="s">
        <v>81</v>
      </c>
      <c r="C48" s="97" t="s">
        <v>81</v>
      </c>
      <c r="D48" s="97" t="s">
        <v>94</v>
      </c>
      <c r="E48" s="301"/>
      <c r="F48" s="301"/>
      <c r="G48" s="301"/>
      <c r="H48" s="301"/>
      <c r="I48" s="301"/>
    </row>
    <row r="49" spans="1:9" ht="18.75">
      <c r="A49" s="98" t="s">
        <v>38</v>
      </c>
      <c r="B49" s="273">
        <v>1760</v>
      </c>
      <c r="C49" s="273">
        <v>30770.8</v>
      </c>
      <c r="D49" s="276">
        <v>2700</v>
      </c>
      <c r="E49" s="245">
        <v>7922</v>
      </c>
      <c r="F49" s="104">
        <f aca="true" t="shared" si="3" ref="F49:F54">B49+C49+D49</f>
        <v>35230.8</v>
      </c>
      <c r="G49" s="100">
        <f aca="true" t="shared" si="4" ref="G49:G54">F49/E49</f>
        <v>4.447210300429185</v>
      </c>
      <c r="H49" s="101">
        <f>(F49/E49)/(F$55/E$55)</f>
        <v>1.1042988796501136</v>
      </c>
      <c r="I49" s="100"/>
    </row>
    <row r="50" spans="1:9" ht="18.75">
      <c r="A50" s="102" t="s">
        <v>39</v>
      </c>
      <c r="B50" s="273">
        <v>1215</v>
      </c>
      <c r="C50" s="273">
        <v>20396.7</v>
      </c>
      <c r="D50" s="276">
        <v>2000</v>
      </c>
      <c r="E50" s="245">
        <v>8654</v>
      </c>
      <c r="F50" s="104">
        <f t="shared" si="3"/>
        <v>23611.7</v>
      </c>
      <c r="G50" s="100">
        <f t="shared" si="4"/>
        <v>2.728414605962561</v>
      </c>
      <c r="H50" s="101">
        <f aca="true" t="shared" si="5" ref="H50:H55">(F50/E50)/(F$55/E$55)</f>
        <v>0.6775000481301029</v>
      </c>
      <c r="I50" s="100"/>
    </row>
    <row r="51" spans="1:9" ht="18.75">
      <c r="A51" s="102" t="s">
        <v>40</v>
      </c>
      <c r="B51" s="273">
        <v>210</v>
      </c>
      <c r="C51" s="273">
        <v>7268.8</v>
      </c>
      <c r="D51" s="276">
        <v>345</v>
      </c>
      <c r="E51" s="245">
        <v>3618</v>
      </c>
      <c r="F51" s="104">
        <f t="shared" si="3"/>
        <v>7823.8</v>
      </c>
      <c r="G51" s="100">
        <f t="shared" si="4"/>
        <v>2.162465450525152</v>
      </c>
      <c r="H51" s="101">
        <f t="shared" si="5"/>
        <v>0.5369676747840202</v>
      </c>
      <c r="I51" s="100"/>
    </row>
    <row r="52" spans="1:9" ht="18.75">
      <c r="A52" s="102" t="s">
        <v>41</v>
      </c>
      <c r="B52" s="273">
        <v>69.8</v>
      </c>
      <c r="C52" s="273">
        <v>13781.2</v>
      </c>
      <c r="D52" s="276">
        <v>155.9</v>
      </c>
      <c r="E52" s="245">
        <v>1413</v>
      </c>
      <c r="F52" s="104">
        <f t="shared" si="3"/>
        <v>14006.9</v>
      </c>
      <c r="G52" s="100">
        <f t="shared" si="4"/>
        <v>9.912880396319887</v>
      </c>
      <c r="H52" s="101">
        <f t="shared" si="5"/>
        <v>2.4614942798421717</v>
      </c>
      <c r="I52" s="100"/>
    </row>
    <row r="53" spans="1:9" ht="18.75">
      <c r="A53" s="102" t="s">
        <v>42</v>
      </c>
      <c r="B53" s="273">
        <v>275.6</v>
      </c>
      <c r="C53" s="273">
        <v>9125.4</v>
      </c>
      <c r="D53" s="276">
        <v>31.5</v>
      </c>
      <c r="E53" s="245">
        <v>1820</v>
      </c>
      <c r="F53" s="104">
        <f t="shared" si="3"/>
        <v>9432.5</v>
      </c>
      <c r="G53" s="100">
        <f t="shared" si="4"/>
        <v>5.1826923076923075</v>
      </c>
      <c r="H53" s="101">
        <f t="shared" si="5"/>
        <v>1.2869284163160772</v>
      </c>
      <c r="I53" s="100"/>
    </row>
    <row r="54" spans="1:9" ht="18.75">
      <c r="A54" s="102" t="s">
        <v>43</v>
      </c>
      <c r="B54" s="273">
        <v>44</v>
      </c>
      <c r="C54" s="273">
        <v>9264.4</v>
      </c>
      <c r="D54" s="276">
        <v>21</v>
      </c>
      <c r="E54" s="245">
        <v>1264</v>
      </c>
      <c r="F54" s="104">
        <f t="shared" si="3"/>
        <v>9329.4</v>
      </c>
      <c r="G54" s="100">
        <f t="shared" si="4"/>
        <v>7.380854430379746</v>
      </c>
      <c r="H54" s="101">
        <f t="shared" si="5"/>
        <v>1.8327600288077985</v>
      </c>
      <c r="I54" s="100"/>
    </row>
    <row r="55" spans="1:9" ht="18.75">
      <c r="A55" s="43" t="s">
        <v>57</v>
      </c>
      <c r="B55" s="106">
        <f>SUM(B49:B54)</f>
        <v>3574.4</v>
      </c>
      <c r="C55" s="106">
        <f>SUM(C49:C54)</f>
        <v>90607.29999999999</v>
      </c>
      <c r="D55" s="106">
        <f>SUM(D49:D54)</f>
        <v>5253.4</v>
      </c>
      <c r="E55" s="44">
        <f>SUM(E49:E54)</f>
        <v>24691</v>
      </c>
      <c r="F55" s="105">
        <f>SUM(F49:F54)</f>
        <v>99435.09999999999</v>
      </c>
      <c r="G55" s="45">
        <f>F55/E55</f>
        <v>4.027179944109189</v>
      </c>
      <c r="H55" s="46">
        <f t="shared" si="5"/>
        <v>1</v>
      </c>
      <c r="I55" s="45">
        <f>$G$55</f>
        <v>4.027179944109189</v>
      </c>
    </row>
    <row r="59" spans="1:9" ht="15.75">
      <c r="A59" s="6"/>
      <c r="B59" s="51" t="s">
        <v>93</v>
      </c>
      <c r="C59" s="52"/>
      <c r="D59" s="52"/>
      <c r="E59" s="53"/>
      <c r="F59" s="5"/>
      <c r="G59" s="5"/>
      <c r="H59" s="5"/>
      <c r="I59" s="5"/>
    </row>
    <row r="60" ht="13.5" thickBot="1"/>
    <row r="61" spans="1:9" ht="63">
      <c r="A61" s="298" t="s">
        <v>0</v>
      </c>
      <c r="B61" s="97" t="s">
        <v>62</v>
      </c>
      <c r="C61" s="97" t="s">
        <v>22</v>
      </c>
      <c r="D61" s="97" t="s">
        <v>56</v>
      </c>
      <c r="E61" s="300" t="s">
        <v>19</v>
      </c>
      <c r="F61" s="300" t="s">
        <v>96</v>
      </c>
      <c r="G61" s="300" t="s">
        <v>97</v>
      </c>
      <c r="H61" s="300" t="s">
        <v>98</v>
      </c>
      <c r="I61" s="300" t="s">
        <v>34</v>
      </c>
    </row>
    <row r="62" spans="1:9" ht="32.25" thickBot="1">
      <c r="A62" s="299"/>
      <c r="B62" s="97" t="s">
        <v>95</v>
      </c>
      <c r="C62" s="97" t="s">
        <v>95</v>
      </c>
      <c r="D62" s="97" t="s">
        <v>95</v>
      </c>
      <c r="E62" s="301"/>
      <c r="F62" s="301"/>
      <c r="G62" s="301"/>
      <c r="H62" s="301"/>
      <c r="I62" s="301"/>
    </row>
    <row r="63" spans="1:9" ht="18.75">
      <c r="A63" s="98" t="s">
        <v>38</v>
      </c>
      <c r="B63" s="273">
        <v>1850</v>
      </c>
      <c r="C63" s="273">
        <v>32278.5</v>
      </c>
      <c r="D63" s="276">
        <v>2800</v>
      </c>
      <c r="E63" s="245">
        <v>7922</v>
      </c>
      <c r="F63" s="99">
        <f aca="true" t="shared" si="6" ref="F63:F68">B63+C63+D63</f>
        <v>36928.5</v>
      </c>
      <c r="G63" s="100">
        <f aca="true" t="shared" si="7" ref="G63:G68">F63/E63</f>
        <v>4.661512244382732</v>
      </c>
      <c r="H63" s="101">
        <f aca="true" t="shared" si="8" ref="H63:H69">(F63/E63)/(F$69/E$69)</f>
        <v>1.0991228670093731</v>
      </c>
      <c r="I63" s="100"/>
    </row>
    <row r="64" spans="1:9" ht="18.75">
      <c r="A64" s="102" t="s">
        <v>39</v>
      </c>
      <c r="B64" s="273">
        <v>1275</v>
      </c>
      <c r="C64" s="273">
        <v>21396.1</v>
      </c>
      <c r="D64" s="276">
        <v>2200</v>
      </c>
      <c r="E64" s="245">
        <v>8654</v>
      </c>
      <c r="F64" s="104">
        <f t="shared" si="6"/>
        <v>24871.1</v>
      </c>
      <c r="G64" s="100">
        <f t="shared" si="7"/>
        <v>2.873942685463369</v>
      </c>
      <c r="H64" s="101">
        <f t="shared" si="8"/>
        <v>0.6776376331250845</v>
      </c>
      <c r="I64" s="100"/>
    </row>
    <row r="65" spans="1:9" ht="18.75">
      <c r="A65" s="102" t="s">
        <v>40</v>
      </c>
      <c r="B65" s="273">
        <v>520</v>
      </c>
      <c r="C65" s="273">
        <v>7624.9</v>
      </c>
      <c r="D65" s="276">
        <v>388</v>
      </c>
      <c r="E65" s="245">
        <v>3618</v>
      </c>
      <c r="F65" s="104">
        <f t="shared" si="6"/>
        <v>8532.9</v>
      </c>
      <c r="G65" s="100">
        <f t="shared" si="7"/>
        <v>2.358457711442786</v>
      </c>
      <c r="H65" s="101">
        <f t="shared" si="8"/>
        <v>0.5560931014704689</v>
      </c>
      <c r="I65" s="100"/>
    </row>
    <row r="66" spans="1:9" ht="18.75">
      <c r="A66" s="102" t="s">
        <v>41</v>
      </c>
      <c r="B66" s="273">
        <v>73.2</v>
      </c>
      <c r="C66" s="273">
        <v>14456.5</v>
      </c>
      <c r="D66" s="276">
        <v>171.7</v>
      </c>
      <c r="E66" s="245">
        <v>1413</v>
      </c>
      <c r="F66" s="104">
        <f t="shared" si="6"/>
        <v>14701.400000000001</v>
      </c>
      <c r="G66" s="100">
        <f t="shared" si="7"/>
        <v>10.404387827317764</v>
      </c>
      <c r="H66" s="101">
        <f t="shared" si="8"/>
        <v>2.453216891582619</v>
      </c>
      <c r="I66" s="100"/>
    </row>
    <row r="67" spans="1:9" ht="18.75">
      <c r="A67" s="102" t="s">
        <v>42</v>
      </c>
      <c r="B67" s="273">
        <v>289.1</v>
      </c>
      <c r="C67" s="273">
        <v>9572.5</v>
      </c>
      <c r="D67" s="276">
        <v>34.7</v>
      </c>
      <c r="E67" s="245">
        <v>1820</v>
      </c>
      <c r="F67" s="104">
        <f t="shared" si="6"/>
        <v>9896.300000000001</v>
      </c>
      <c r="G67" s="100">
        <f t="shared" si="7"/>
        <v>5.437527472527473</v>
      </c>
      <c r="H67" s="101">
        <f t="shared" si="8"/>
        <v>1.282096983065637</v>
      </c>
      <c r="I67" s="100"/>
    </row>
    <row r="68" spans="1:9" ht="18.75">
      <c r="A68" s="102" t="s">
        <v>43</v>
      </c>
      <c r="B68" s="273">
        <v>46</v>
      </c>
      <c r="C68" s="273">
        <v>9718.3</v>
      </c>
      <c r="D68" s="276">
        <v>23</v>
      </c>
      <c r="E68" s="245">
        <v>1264</v>
      </c>
      <c r="F68" s="104">
        <f t="shared" si="6"/>
        <v>9787.3</v>
      </c>
      <c r="G68" s="100">
        <f t="shared" si="7"/>
        <v>7.743117088607594</v>
      </c>
      <c r="H68" s="101">
        <f t="shared" si="8"/>
        <v>1.825724487643518</v>
      </c>
      <c r="I68" s="100"/>
    </row>
    <row r="69" spans="1:9" ht="18.75">
      <c r="A69" s="43" t="s">
        <v>57</v>
      </c>
      <c r="B69" s="106">
        <f>SUM(B63:B68)</f>
        <v>4053.2999999999997</v>
      </c>
      <c r="C69" s="106">
        <f>SUM(C63:C68)</f>
        <v>95046.8</v>
      </c>
      <c r="D69" s="106">
        <f>SUM(D63:D68)</f>
        <v>5617.4</v>
      </c>
      <c r="E69" s="44">
        <f>SUM(E63:E68)</f>
        <v>24691</v>
      </c>
      <c r="F69" s="105">
        <f>SUM(F63:F68)</f>
        <v>104717.5</v>
      </c>
      <c r="G69" s="45">
        <f>F69/E69</f>
        <v>4.241120246243571</v>
      </c>
      <c r="H69" s="46">
        <f t="shared" si="8"/>
        <v>1</v>
      </c>
      <c r="I69" s="45">
        <f>$G$69</f>
        <v>4.241120246243571</v>
      </c>
    </row>
  </sheetData>
  <sheetProtection/>
  <mergeCells count="18">
    <mergeCell ref="H10:H11"/>
    <mergeCell ref="I10:I11"/>
    <mergeCell ref="H47:H48"/>
    <mergeCell ref="I47:I48"/>
    <mergeCell ref="F47:F48"/>
    <mergeCell ref="G47:G48"/>
    <mergeCell ref="F10:F11"/>
    <mergeCell ref="G10:G11"/>
    <mergeCell ref="A10:A11"/>
    <mergeCell ref="E10:E11"/>
    <mergeCell ref="A47:A48"/>
    <mergeCell ref="E47:E48"/>
    <mergeCell ref="H61:H62"/>
    <mergeCell ref="I61:I62"/>
    <mergeCell ref="A61:A62"/>
    <mergeCell ref="E61:E62"/>
    <mergeCell ref="F61:F62"/>
    <mergeCell ref="G61:G62"/>
  </mergeCells>
  <printOptions/>
  <pageMargins left="0.7874015748031497" right="0" top="0.3937007874015748" bottom="0" header="0" footer="0"/>
  <pageSetup horizontalDpi="600" verticalDpi="600" orientation="landscape" paperSize="9" scale="85" r:id="rId1"/>
  <headerFooter alignWithMargins="0">
    <oddFooter>&amp;CСтраница &amp;P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45"/>
  <sheetViews>
    <sheetView zoomScale="75" zoomScaleNormal="75" zoomScalePageLayoutView="0" workbookViewId="0" topLeftCell="B1">
      <selection activeCell="F28" sqref="F28"/>
    </sheetView>
  </sheetViews>
  <sheetFormatPr defaultColWidth="9.00390625" defaultRowHeight="12.75"/>
  <cols>
    <col min="1" max="1" width="9.125" style="8" hidden="1" customWidth="1"/>
    <col min="2" max="2" width="62.875" style="8" customWidth="1"/>
    <col min="3" max="3" width="15.375" style="8" hidden="1" customWidth="1"/>
    <col min="4" max="4" width="22.00390625" style="8" customWidth="1"/>
    <col min="5" max="5" width="22.25390625" style="8" customWidth="1"/>
    <col min="6" max="6" width="23.00390625" style="8" customWidth="1"/>
    <col min="7" max="7" width="12.625" style="8" customWidth="1"/>
    <col min="8" max="8" width="10.125" style="8" customWidth="1"/>
    <col min="9" max="9" width="11.00390625" style="8" customWidth="1"/>
    <col min="10" max="10" width="11.875" style="8" customWidth="1"/>
    <col min="11" max="16384" width="9.125" style="8" customWidth="1"/>
  </cols>
  <sheetData>
    <row r="1" ht="15.75">
      <c r="B1" s="204"/>
    </row>
    <row r="2" spans="2:10" ht="21.75" customHeight="1">
      <c r="B2" s="175"/>
      <c r="C2" s="175"/>
      <c r="D2" s="176"/>
      <c r="E2" s="176"/>
      <c r="F2" s="176"/>
      <c r="G2" s="9"/>
      <c r="H2" s="9"/>
      <c r="I2" s="9"/>
      <c r="J2" s="9"/>
    </row>
    <row r="3" spans="2:10" ht="22.5" customHeight="1">
      <c r="B3" s="181"/>
      <c r="C3" s="182"/>
      <c r="D3" s="182"/>
      <c r="E3" s="205"/>
      <c r="F3" s="9"/>
      <c r="G3" s="9"/>
      <c r="H3" s="9"/>
      <c r="I3" s="9"/>
      <c r="J3" s="9"/>
    </row>
    <row r="4" spans="2:10" ht="40.5" customHeight="1" hidden="1">
      <c r="B4" s="181"/>
      <c r="C4" s="183"/>
      <c r="D4" s="183"/>
      <c r="E4" s="183"/>
      <c r="F4" s="183"/>
      <c r="G4" s="9"/>
      <c r="H4" s="9"/>
      <c r="I4" s="9"/>
      <c r="J4" s="9"/>
    </row>
    <row r="5" spans="2:10" ht="48" customHeight="1" hidden="1">
      <c r="B5" s="181"/>
      <c r="C5" s="183"/>
      <c r="D5" s="206"/>
      <c r="E5" s="206"/>
      <c r="F5" s="206"/>
      <c r="G5" s="9"/>
      <c r="H5" s="9"/>
      <c r="I5" s="9"/>
      <c r="J5" s="9"/>
    </row>
    <row r="6" spans="2:10" ht="15" hidden="1">
      <c r="B6" s="9"/>
      <c r="C6" s="9"/>
      <c r="D6" s="9"/>
      <c r="E6" s="9"/>
      <c r="F6" s="9"/>
      <c r="G6" s="9"/>
      <c r="H6" s="9"/>
      <c r="I6" s="9"/>
      <c r="J6" s="9"/>
    </row>
    <row r="7" spans="2:10" ht="25.5" customHeight="1" hidden="1">
      <c r="B7" s="302"/>
      <c r="C7" s="302"/>
      <c r="D7" s="22"/>
      <c r="E7" s="9"/>
      <c r="F7" s="9"/>
      <c r="G7" s="9"/>
      <c r="H7" s="9"/>
      <c r="I7" s="9"/>
      <c r="J7" s="9"/>
    </row>
    <row r="8" spans="2:10" ht="20.25" customHeight="1" hidden="1">
      <c r="B8" s="9"/>
      <c r="C8" s="23"/>
      <c r="D8" s="23"/>
      <c r="E8" s="9"/>
      <c r="F8" s="9"/>
      <c r="G8" s="9"/>
      <c r="H8" s="9"/>
      <c r="I8" s="9"/>
      <c r="J8" s="9"/>
    </row>
    <row r="9" spans="2:10" ht="22.5" customHeight="1" hidden="1">
      <c r="B9" s="9"/>
      <c r="C9" s="23"/>
      <c r="D9" s="23"/>
      <c r="E9" s="9"/>
      <c r="F9" s="9"/>
      <c r="G9" s="9"/>
      <c r="H9" s="9"/>
      <c r="I9" s="9"/>
      <c r="J9" s="9"/>
    </row>
    <row r="10" spans="2:10" ht="20.25" customHeight="1" hidden="1">
      <c r="B10" s="72"/>
      <c r="C10" s="23"/>
      <c r="D10" s="23"/>
      <c r="E10" s="9"/>
      <c r="F10" s="9"/>
      <c r="G10" s="9"/>
      <c r="H10" s="9"/>
      <c r="I10" s="9"/>
      <c r="J10" s="9"/>
    </row>
    <row r="11" spans="2:10" ht="15" hidden="1">
      <c r="B11" s="9"/>
      <c r="C11" s="9"/>
      <c r="D11" s="23"/>
      <c r="E11" s="9"/>
      <c r="F11" s="9"/>
      <c r="G11" s="9"/>
      <c r="H11" s="9"/>
      <c r="I11" s="9"/>
      <c r="J11" s="9"/>
    </row>
    <row r="12" spans="2:11" ht="37.5" customHeight="1" hidden="1">
      <c r="B12" s="302"/>
      <c r="C12" s="302"/>
      <c r="D12" s="22"/>
      <c r="E12" s="176"/>
      <c r="F12" s="207"/>
      <c r="G12" s="207"/>
      <c r="H12" s="208"/>
      <c r="I12" s="208"/>
      <c r="J12" s="208"/>
      <c r="K12" s="9"/>
    </row>
    <row r="13" spans="2:11" ht="30" customHeight="1" hidden="1">
      <c r="B13" s="172"/>
      <c r="C13" s="24"/>
      <c r="D13" s="172"/>
      <c r="E13" s="173"/>
      <c r="F13" s="70"/>
      <c r="G13" s="70"/>
      <c r="H13" s="65"/>
      <c r="I13" s="65"/>
      <c r="J13" s="65"/>
      <c r="K13" s="9"/>
    </row>
    <row r="14" spans="2:11" ht="15.75" hidden="1">
      <c r="B14" s="172"/>
      <c r="C14" s="24"/>
      <c r="D14" s="172"/>
      <c r="E14" s="173"/>
      <c r="F14" s="70"/>
      <c r="G14" s="70"/>
      <c r="H14" s="65"/>
      <c r="I14" s="65"/>
      <c r="J14" s="65"/>
      <c r="K14" s="9"/>
    </row>
    <row r="15" spans="2:11" ht="31.5" customHeight="1" hidden="1">
      <c r="B15" s="172"/>
      <c r="C15" s="24"/>
      <c r="D15" s="172"/>
      <c r="E15" s="173"/>
      <c r="F15" s="70"/>
      <c r="G15" s="70"/>
      <c r="H15" s="65"/>
      <c r="I15" s="65"/>
      <c r="J15" s="65"/>
      <c r="K15" s="9"/>
    </row>
    <row r="16" spans="2:11" ht="15.75" hidden="1">
      <c r="B16" s="73"/>
      <c r="C16" s="24"/>
      <c r="D16" s="74"/>
      <c r="E16" s="75"/>
      <c r="F16" s="66"/>
      <c r="G16" s="66"/>
      <c r="H16" s="66"/>
      <c r="I16" s="66"/>
      <c r="J16" s="66"/>
      <c r="K16" s="9"/>
    </row>
    <row r="17" spans="2:11" ht="15" hidden="1">
      <c r="B17" s="76"/>
      <c r="C17" s="24"/>
      <c r="D17" s="24"/>
      <c r="E17" s="9"/>
      <c r="F17" s="9"/>
      <c r="G17" s="9"/>
      <c r="H17" s="9"/>
      <c r="I17" s="9"/>
      <c r="J17" s="9"/>
      <c r="K17" s="9"/>
    </row>
    <row r="18" spans="2:6" ht="15.75" hidden="1">
      <c r="B18" s="174"/>
      <c r="C18" s="9"/>
      <c r="D18" s="175"/>
      <c r="E18" s="176"/>
      <c r="F18" s="176"/>
    </row>
    <row r="19" spans="2:6" ht="15" hidden="1">
      <c r="B19" s="177"/>
      <c r="C19" s="178"/>
      <c r="D19" s="179"/>
      <c r="E19" s="178"/>
      <c r="F19" s="178"/>
    </row>
    <row r="20" spans="2:6" ht="15" hidden="1">
      <c r="B20" s="177"/>
      <c r="C20" s="178"/>
      <c r="D20" s="178"/>
      <c r="E20" s="178"/>
      <c r="F20" s="178"/>
    </row>
    <row r="21" spans="2:6" ht="15" hidden="1">
      <c r="B21" s="9"/>
      <c r="C21" s="9"/>
      <c r="D21" s="9"/>
      <c r="E21" s="9"/>
      <c r="F21" s="9"/>
    </row>
    <row r="22" spans="2:6" ht="15" hidden="1">
      <c r="B22" s="9"/>
      <c r="C22" s="180"/>
      <c r="D22" s="180"/>
      <c r="E22" s="180"/>
      <c r="F22" s="180"/>
    </row>
    <row r="23" ht="15" hidden="1"/>
    <row r="24" ht="15">
      <c r="E24" s="209"/>
    </row>
    <row r="25" ht="15.75" thickBot="1">
      <c r="E25" s="209"/>
    </row>
    <row r="26" spans="2:6" ht="15.75">
      <c r="B26" s="305" t="s">
        <v>73</v>
      </c>
      <c r="C26" s="306"/>
      <c r="D26" s="306"/>
      <c r="E26" s="306"/>
      <c r="F26" s="307"/>
    </row>
    <row r="27" spans="2:6" ht="15.75">
      <c r="B27" s="210"/>
      <c r="C27" s="211"/>
      <c r="D27" s="77" t="s">
        <v>86</v>
      </c>
      <c r="E27" s="77" t="s">
        <v>87</v>
      </c>
      <c r="F27" s="192" t="s">
        <v>92</v>
      </c>
    </row>
    <row r="28" spans="2:6" ht="39" customHeight="1">
      <c r="B28" s="78" t="s">
        <v>11</v>
      </c>
      <c r="C28" s="79">
        <f>14032900*1.019+1961116</f>
        <v>16260641.099999998</v>
      </c>
      <c r="D28" s="212">
        <f>D41+D42</f>
        <v>186308</v>
      </c>
      <c r="E28" s="212">
        <f>E41+E42</f>
        <v>195631.2</v>
      </c>
      <c r="F28" s="213">
        <f>F41+F42</f>
        <v>205437.40000000002</v>
      </c>
    </row>
    <row r="29" spans="2:6" ht="40.5" customHeight="1">
      <c r="B29" s="80" t="s">
        <v>10</v>
      </c>
      <c r="C29" s="81">
        <v>0</v>
      </c>
      <c r="D29" s="214">
        <v>0</v>
      </c>
      <c r="E29" s="214">
        <v>0</v>
      </c>
      <c r="F29" s="215">
        <v>0</v>
      </c>
    </row>
    <row r="30" spans="2:6" ht="53.25" customHeight="1">
      <c r="B30" s="202" t="s">
        <v>23</v>
      </c>
      <c r="C30" s="242">
        <v>0.2</v>
      </c>
      <c r="D30" s="216">
        <v>35651.7</v>
      </c>
      <c r="E30" s="216">
        <v>37434.3</v>
      </c>
      <c r="F30" s="217">
        <v>39306</v>
      </c>
    </row>
    <row r="31" spans="2:6" ht="18.75">
      <c r="B31" s="102" t="s">
        <v>91</v>
      </c>
      <c r="C31" s="102"/>
      <c r="D31" s="243">
        <v>0.0105</v>
      </c>
      <c r="E31" s="244">
        <v>0.0105</v>
      </c>
      <c r="F31" s="244">
        <v>0.0105</v>
      </c>
    </row>
    <row r="32" spans="2:6" ht="15">
      <c r="B32" s="218"/>
      <c r="C32" s="193"/>
      <c r="D32" s="193"/>
      <c r="E32" s="193"/>
      <c r="F32" s="219"/>
    </row>
    <row r="33" spans="2:6" ht="15.75" thickBot="1">
      <c r="B33" s="203"/>
      <c r="C33" s="193"/>
      <c r="D33" s="82"/>
      <c r="E33" s="193"/>
      <c r="F33" s="219"/>
    </row>
    <row r="34" spans="2:6" ht="36" customHeight="1">
      <c r="B34" s="303" t="s">
        <v>70</v>
      </c>
      <c r="C34" s="304"/>
      <c r="D34" s="83" t="s">
        <v>63</v>
      </c>
      <c r="E34" s="77" t="s">
        <v>86</v>
      </c>
      <c r="F34" s="194">
        <f>F35+F36+F37</f>
        <v>291013.4</v>
      </c>
    </row>
    <row r="35" spans="2:6" ht="15.75">
      <c r="B35" s="195" t="s">
        <v>46</v>
      </c>
      <c r="C35" s="84">
        <v>0.099</v>
      </c>
      <c r="D35" s="85"/>
      <c r="E35" s="168">
        <f>F35/F34*100%</f>
        <v>0.13597861816672357</v>
      </c>
      <c r="F35" s="196">
        <v>39571.6</v>
      </c>
    </row>
    <row r="36" spans="2:6" ht="15.75">
      <c r="B36" s="195" t="s">
        <v>47</v>
      </c>
      <c r="C36" s="84">
        <v>0.171</v>
      </c>
      <c r="D36" s="85"/>
      <c r="E36" s="168">
        <f>F36/F34*100%</f>
        <v>0.1556759929267862</v>
      </c>
      <c r="F36" s="196">
        <v>45303.8</v>
      </c>
    </row>
    <row r="37" spans="2:6" ht="15.75">
      <c r="B37" s="195" t="s">
        <v>48</v>
      </c>
      <c r="C37" s="84">
        <v>0.094</v>
      </c>
      <c r="D37" s="85"/>
      <c r="E37" s="168">
        <f>F37/F34*100%</f>
        <v>0.7083453889064901</v>
      </c>
      <c r="F37" s="196">
        <v>206138</v>
      </c>
    </row>
    <row r="38" spans="2:6" ht="15.75">
      <c r="B38" s="197"/>
      <c r="C38" s="86">
        <v>0.234</v>
      </c>
      <c r="D38" s="87"/>
      <c r="E38" s="88"/>
      <c r="F38" s="198"/>
    </row>
    <row r="39" spans="2:6" ht="15">
      <c r="B39" s="199"/>
      <c r="C39" s="86">
        <v>0.402</v>
      </c>
      <c r="D39" s="86"/>
      <c r="E39" s="193"/>
      <c r="F39" s="219"/>
    </row>
    <row r="40" spans="2:6" ht="15.75">
      <c r="B40" s="200"/>
      <c r="C40" s="89"/>
      <c r="D40" s="77" t="s">
        <v>85</v>
      </c>
      <c r="E40" s="77" t="s">
        <v>86</v>
      </c>
      <c r="F40" s="192" t="s">
        <v>87</v>
      </c>
    </row>
    <row r="41" spans="2:6" ht="30">
      <c r="B41" s="90" t="s">
        <v>26</v>
      </c>
      <c r="C41" s="91">
        <f>$C$3*C27</f>
        <v>0</v>
      </c>
      <c r="D41" s="216">
        <v>35651.7</v>
      </c>
      <c r="E41" s="216">
        <v>37434.3</v>
      </c>
      <c r="F41" s="217">
        <v>39306</v>
      </c>
    </row>
    <row r="42" spans="2:6" ht="30.75" thickBot="1">
      <c r="B42" s="92" t="s">
        <v>27</v>
      </c>
      <c r="C42" s="93">
        <f>C24-C41</f>
        <v>0</v>
      </c>
      <c r="D42" s="220">
        <f>76467.6+74188.7</f>
        <v>150656.3</v>
      </c>
      <c r="E42" s="220">
        <f>80298.7+77898.2</f>
        <v>158196.9</v>
      </c>
      <c r="F42" s="221">
        <f>84338.3+81793.1</f>
        <v>166131.40000000002</v>
      </c>
    </row>
    <row r="43" spans="2:6" ht="15.75" thickBot="1">
      <c r="B43" s="201"/>
      <c r="C43" s="193"/>
      <c r="D43" s="166"/>
      <c r="E43" s="166"/>
      <c r="F43" s="222"/>
    </row>
    <row r="44" spans="2:6" ht="15.75" thickBot="1">
      <c r="B44" s="95" t="s">
        <v>30</v>
      </c>
      <c r="C44" s="96" t="e">
        <f>(ИНП!#REF!+$C$20-Итоговая!#REF!)/ИНП!#REF!</f>
        <v>#REF!</v>
      </c>
      <c r="D44" s="223">
        <f>(ИНП!$F$18+$D$42-Итоговая!$I$15)/ИНП!$F$18</f>
        <v>2.584931524142763</v>
      </c>
      <c r="E44" s="223">
        <f>(ИНП!$F$55+$E$42-Итоговая!$I$30)/ИНП!$F$55</f>
        <v>2.5909563122076613</v>
      </c>
      <c r="F44" s="224">
        <f>(ИНП!$F$69+$F$42-Итоговая!$I$45)/ИНП!$F$69</f>
        <v>2.586472175137871</v>
      </c>
    </row>
    <row r="45" spans="4:7" ht="15">
      <c r="D45" s="184" t="s">
        <v>101</v>
      </c>
      <c r="E45" s="184" t="s">
        <v>102</v>
      </c>
      <c r="F45" s="184" t="s">
        <v>103</v>
      </c>
      <c r="G45" s="184"/>
    </row>
  </sheetData>
  <sheetProtection/>
  <mergeCells count="4">
    <mergeCell ref="B12:C12"/>
    <mergeCell ref="B7:C7"/>
    <mergeCell ref="B34:C34"/>
    <mergeCell ref="B26:F26"/>
  </mergeCells>
  <printOptions/>
  <pageMargins left="0" right="0" top="0" bottom="0" header="0.5118110236220472" footer="0"/>
  <pageSetup horizontalDpi="1200" verticalDpi="1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45"/>
  <sheetViews>
    <sheetView tabSelected="1" zoomScalePageLayoutView="0" workbookViewId="0" topLeftCell="K4">
      <selection activeCell="U9" sqref="U9:U14"/>
    </sheetView>
  </sheetViews>
  <sheetFormatPr defaultColWidth="9.00390625" defaultRowHeight="12.75"/>
  <cols>
    <col min="1" max="1" width="11.25390625" style="4" customWidth="1"/>
    <col min="2" max="2" width="22.875" style="1" customWidth="1"/>
    <col min="3" max="3" width="13.75390625" style="1" customWidth="1"/>
    <col min="4" max="4" width="9.375" style="1" customWidth="1"/>
    <col min="5" max="5" width="11.00390625" style="1" customWidth="1"/>
    <col min="6" max="6" width="11.625" style="4" customWidth="1"/>
    <col min="7" max="7" width="11.75390625" style="4" customWidth="1"/>
    <col min="8" max="8" width="14.75390625" style="4" customWidth="1"/>
    <col min="9" max="9" width="11.875" style="4" customWidth="1"/>
    <col min="10" max="10" width="14.875" style="4" customWidth="1"/>
    <col min="11" max="11" width="13.00390625" style="4" customWidth="1"/>
    <col min="12" max="12" width="12.875" style="4" customWidth="1"/>
    <col min="13" max="14" width="13.00390625" style="4" customWidth="1"/>
    <col min="15" max="15" width="16.375" style="4" customWidth="1"/>
    <col min="16" max="16" width="12.375" style="4" customWidth="1"/>
    <col min="17" max="17" width="13.00390625" style="4" customWidth="1"/>
    <col min="18" max="19" width="14.25390625" style="4" customWidth="1"/>
    <col min="20" max="20" width="14.875" style="4" customWidth="1"/>
    <col min="21" max="21" width="17.25390625" style="4" customWidth="1"/>
    <col min="22" max="22" width="11.625" style="4" customWidth="1"/>
    <col min="23" max="23" width="15.875" style="4" customWidth="1"/>
    <col min="24" max="24" width="13.75390625" style="4" hidden="1" customWidth="1"/>
    <col min="25" max="25" width="12.25390625" style="4" hidden="1" customWidth="1"/>
    <col min="26" max="26" width="15.875" style="4" customWidth="1"/>
    <col min="27" max="16384" width="9.125" style="4" customWidth="1"/>
  </cols>
  <sheetData>
    <row r="3" spans="3:10" ht="15">
      <c r="C3" s="55" t="s">
        <v>88</v>
      </c>
      <c r="D3" s="56"/>
      <c r="E3" s="56"/>
      <c r="F3" s="57"/>
      <c r="G3" s="57"/>
      <c r="H3" s="57"/>
      <c r="I3" s="57"/>
      <c r="J3" s="57"/>
    </row>
    <row r="5" ht="16.5" customHeight="1">
      <c r="W5" s="4" t="s">
        <v>71</v>
      </c>
    </row>
    <row r="6" spans="1:26" ht="12.75" customHeight="1">
      <c r="A6" s="311" t="s">
        <v>12</v>
      </c>
      <c r="B6" s="311" t="s">
        <v>0</v>
      </c>
      <c r="C6" s="311" t="s">
        <v>1</v>
      </c>
      <c r="D6" s="311" t="s">
        <v>4</v>
      </c>
      <c r="E6" s="311" t="s">
        <v>5</v>
      </c>
      <c r="F6" s="311" t="s">
        <v>28</v>
      </c>
      <c r="G6" s="311" t="s">
        <v>29</v>
      </c>
      <c r="H6" s="311" t="s">
        <v>59</v>
      </c>
      <c r="I6" s="311" t="s">
        <v>58</v>
      </c>
      <c r="J6" s="311" t="s">
        <v>60</v>
      </c>
      <c r="K6" s="311" t="s">
        <v>61</v>
      </c>
      <c r="L6" s="311" t="s">
        <v>6</v>
      </c>
      <c r="M6" s="311" t="s">
        <v>31</v>
      </c>
      <c r="N6" s="311" t="s">
        <v>64</v>
      </c>
      <c r="O6" s="314" t="s">
        <v>69</v>
      </c>
      <c r="P6" s="311" t="s">
        <v>7</v>
      </c>
      <c r="Q6" s="311" t="s">
        <v>33</v>
      </c>
      <c r="R6" s="311" t="s">
        <v>32</v>
      </c>
      <c r="S6" s="311" t="s">
        <v>35</v>
      </c>
      <c r="T6" s="311" t="s">
        <v>36</v>
      </c>
      <c r="U6" s="295" t="s">
        <v>68</v>
      </c>
      <c r="V6" s="311" t="s">
        <v>65</v>
      </c>
      <c r="W6" s="311" t="s">
        <v>66</v>
      </c>
      <c r="X6" s="282" t="s">
        <v>8</v>
      </c>
      <c r="Y6" s="282" t="s">
        <v>9</v>
      </c>
      <c r="Z6" s="308" t="s">
        <v>67</v>
      </c>
    </row>
    <row r="7" spans="1:26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5"/>
      <c r="P7" s="312"/>
      <c r="Q7" s="312"/>
      <c r="R7" s="312"/>
      <c r="S7" s="312"/>
      <c r="T7" s="312"/>
      <c r="U7" s="296"/>
      <c r="V7" s="312"/>
      <c r="W7" s="312"/>
      <c r="X7" s="283"/>
      <c r="Y7" s="283"/>
      <c r="Z7" s="309"/>
    </row>
    <row r="8" spans="1:26" ht="118.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6"/>
      <c r="P8" s="313"/>
      <c r="Q8" s="313"/>
      <c r="R8" s="313"/>
      <c r="S8" s="313"/>
      <c r="T8" s="313"/>
      <c r="U8" s="297"/>
      <c r="V8" s="313"/>
      <c r="W8" s="313"/>
      <c r="X8" s="284"/>
      <c r="Y8" s="284"/>
      <c r="Z8" s="310"/>
    </row>
    <row r="9" spans="1:26" ht="15.75">
      <c r="A9" s="94">
        <f aca="true" t="shared" si="0" ref="A9:A14">RANK(F9,$F$9:$F$14,1)</f>
        <v>4</v>
      </c>
      <c r="B9" s="109" t="s">
        <v>38</v>
      </c>
      <c r="C9" s="233">
        <f>ИБР!B12</f>
        <v>7922</v>
      </c>
      <c r="D9" s="225">
        <f>ИБР!AK12</f>
        <v>0.9508903227997705</v>
      </c>
      <c r="E9" s="225">
        <f>ИНП!H12</f>
        <v>1.1039535891701049</v>
      </c>
      <c r="F9" s="225">
        <f aca="true" t="shared" si="1" ref="F9:F15">E9/D9</f>
        <v>1.1609683711152512</v>
      </c>
      <c r="G9" s="226">
        <f>F9*(ИНП!$G$18)</f>
        <v>4.469495480284665</v>
      </c>
      <c r="H9" s="226">
        <f>2*ИНП!$I$18</f>
        <v>7.699599044186141</v>
      </c>
      <c r="I9" s="233">
        <f>IF((G9-H9)&lt;0,0,'Параметры модели'!$D$29*(G9-H9)*C9*D9)</f>
        <v>0</v>
      </c>
      <c r="J9" s="225">
        <f>F9-I9/(D9*C9*ИНП!$G$18)</f>
        <v>1.1609683711152512</v>
      </c>
      <c r="K9" s="226">
        <f>G9-I9/(C9*D9)</f>
        <v>4.469495480284665</v>
      </c>
      <c r="L9" s="129"/>
      <c r="M9" s="129"/>
      <c r="N9" s="147">
        <f aca="true" t="shared" si="2" ref="N9:N14">1-1*(I9&gt;0)</f>
        <v>1</v>
      </c>
      <c r="O9" s="148">
        <f>O15*(ИБР!B12/ИБР!B18)</f>
        <v>11438.69294074764</v>
      </c>
      <c r="P9" s="225">
        <f>F9+O9/(C9*D9*ИНП!$G$18)</f>
        <v>1.555401170649157</v>
      </c>
      <c r="Q9" s="226">
        <f aca="true" t="shared" si="3" ref="Q9:Q14">G9+O9/(C9*D9)</f>
        <v>5.987982683428127</v>
      </c>
      <c r="R9" s="229"/>
      <c r="S9" s="230">
        <f>IF(ИНП!$G$18*('Параметры модели'!$D$44-F9)*C9*D9+I9&lt;0,0,ИНП!$G$18*('Параметры модели'!$D$44-F9)*C9*D9+I9)</f>
        <v>41295.44319252383</v>
      </c>
      <c r="T9" s="147"/>
      <c r="U9" s="128">
        <f aca="true" t="shared" si="4" ref="U9:U14">$T$15*S9</f>
        <v>41295.44319252384</v>
      </c>
      <c r="V9" s="129">
        <f>F9+(O9+U9)/(C9*D9*ИНП!$G$18)</f>
        <v>2.979364323676669</v>
      </c>
      <c r="W9" s="130">
        <f aca="true" t="shared" si="5" ref="W9:W14">G9+(O9+U9)/(C9*D9)</f>
        <v>11.469955349431586</v>
      </c>
      <c r="X9" s="28"/>
      <c r="Y9" s="27"/>
      <c r="Z9" s="133">
        <f>O9+U9</f>
        <v>52734.13613327148</v>
      </c>
    </row>
    <row r="10" spans="1:26" ht="15.75">
      <c r="A10" s="94">
        <f t="shared" si="0"/>
        <v>2</v>
      </c>
      <c r="B10" s="109" t="s">
        <v>39</v>
      </c>
      <c r="C10" s="233">
        <f>ИБР!B13</f>
        <v>8654</v>
      </c>
      <c r="D10" s="225">
        <f>ИБР!AK13</f>
        <v>0.9181555299384323</v>
      </c>
      <c r="E10" s="225">
        <f>ИНП!H13</f>
        <v>0.6731086833310751</v>
      </c>
      <c r="F10" s="225">
        <f t="shared" si="1"/>
        <v>0.7331096545007042</v>
      </c>
      <c r="G10" s="226">
        <f>F10*(ИНП!$G$18)</f>
        <v>2.822325197538627</v>
      </c>
      <c r="H10" s="226">
        <f>2*ИНП!$I$18</f>
        <v>7.699599044186141</v>
      </c>
      <c r="I10" s="233">
        <f>IF((G10-H10)&lt;0,0,'Параметры модели'!$D$29*(G10-H10)*C10*D10)</f>
        <v>0</v>
      </c>
      <c r="J10" s="225">
        <f>F10-I10/(D10*C10*ИНП!$G$18)</f>
        <v>0.7331096545007042</v>
      </c>
      <c r="K10" s="226">
        <f aca="true" t="shared" si="6" ref="K10:K15">G10-I10/(C10*D10)</f>
        <v>2.822325197538627</v>
      </c>
      <c r="L10" s="129"/>
      <c r="M10" s="129"/>
      <c r="N10" s="147">
        <f t="shared" si="2"/>
        <v>1</v>
      </c>
      <c r="O10" s="148">
        <f>O15*(ИБР!B13/ИБР!B18)</f>
        <v>12495.638564659186</v>
      </c>
      <c r="P10" s="225">
        <f>F10+O10/(C10*D10*ИНП!$G$18)</f>
        <v>1.1416050780339733</v>
      </c>
      <c r="Q10" s="226">
        <f t="shared" si="3"/>
        <v>4.394950683834212</v>
      </c>
      <c r="R10" s="229"/>
      <c r="S10" s="230">
        <f>IF(ИНП!$G$18*('Параметры модели'!$D$44-F10)*C10*D10+I10&lt;0,0,ИНП!$G$18*('Параметры модели'!$D$44-F10)*C10*D10+I10)</f>
        <v>56646.15913939126</v>
      </c>
      <c r="T10" s="147"/>
      <c r="U10" s="128">
        <f t="shared" si="4"/>
        <v>56646.159139391275</v>
      </c>
      <c r="V10" s="129">
        <f>F10+(O10+U10)/(C10*D10*ИНП!$G$18)</f>
        <v>2.9934269476760327</v>
      </c>
      <c r="W10" s="130">
        <f t="shared" si="5"/>
        <v>11.524093632583709</v>
      </c>
      <c r="X10" s="28"/>
      <c r="Y10" s="27"/>
      <c r="Z10" s="133">
        <f aca="true" t="shared" si="7" ref="Z10:Z15">O10+U10</f>
        <v>69141.79770405046</v>
      </c>
    </row>
    <row r="11" spans="1:26" ht="15.75">
      <c r="A11" s="94">
        <f t="shared" si="0"/>
        <v>1</v>
      </c>
      <c r="B11" s="109" t="s">
        <v>40</v>
      </c>
      <c r="C11" s="233">
        <f>ИБР!B14</f>
        <v>3618</v>
      </c>
      <c r="D11" s="225">
        <f>ИБР!AK14</f>
        <v>1.0991776703002163</v>
      </c>
      <c r="E11" s="225">
        <f>ИНП!H14</f>
        <v>0.5579034598720809</v>
      </c>
      <c r="F11" s="225">
        <f t="shared" si="1"/>
        <v>0.5075644046878262</v>
      </c>
      <c r="G11" s="226">
        <f>F11*(ИНП!$G$18)</f>
        <v>1.954021202598647</v>
      </c>
      <c r="H11" s="226">
        <f>2*ИНП!$I$18</f>
        <v>7.699599044186141</v>
      </c>
      <c r="I11" s="233">
        <f>IF((G11-H11)&lt;0,0,'Параметры модели'!$D$29*(G11-H11)*C11*D11)</f>
        <v>0</v>
      </c>
      <c r="J11" s="225">
        <f>F11-I11/(D11*C11*ИНП!$G$18)</f>
        <v>0.5075644046878262</v>
      </c>
      <c r="K11" s="226">
        <f t="shared" si="6"/>
        <v>1.954021202598647</v>
      </c>
      <c r="L11" s="129"/>
      <c r="M11" s="129"/>
      <c r="N11" s="147">
        <f t="shared" si="2"/>
        <v>1</v>
      </c>
      <c r="O11" s="148">
        <f>O15*(ИБР!B14/ИБР!B18)</f>
        <v>5224.0836985136275</v>
      </c>
      <c r="P11" s="225">
        <f>F11+O11/(C11*D11*ИНП!$G$18)</f>
        <v>0.8487852484201891</v>
      </c>
      <c r="Q11" s="226">
        <f t="shared" si="3"/>
        <v>3.2676530437276923</v>
      </c>
      <c r="R11" s="229"/>
      <c r="S11" s="230">
        <f>IF(ИНП!$G$18*('Параметры модели'!$D$44-F11)*C11*D11+I11&lt;0,0,ИНП!$G$18*('Параметры модели'!$D$44-F11)*C11*D11+I11)</f>
        <v>31804.44543148951</v>
      </c>
      <c r="T11" s="147"/>
      <c r="U11" s="128">
        <f t="shared" si="4"/>
        <v>31804.445431489516</v>
      </c>
      <c r="V11" s="129">
        <f>F11+(O11+U11)/(C11*D11*ИНП!$G$18)</f>
        <v>2.9261523678751264</v>
      </c>
      <c r="W11" s="130">
        <f t="shared" si="5"/>
        <v>11.265099987417168</v>
      </c>
      <c r="X11" s="28"/>
      <c r="Y11" s="27"/>
      <c r="Z11" s="133">
        <f t="shared" si="7"/>
        <v>37028.529130003146</v>
      </c>
    </row>
    <row r="12" spans="1:26" ht="15.75">
      <c r="A12" s="94">
        <f t="shared" si="0"/>
        <v>6</v>
      </c>
      <c r="B12" s="109" t="s">
        <v>41</v>
      </c>
      <c r="C12" s="233">
        <f>ИБР!B15</f>
        <v>1413</v>
      </c>
      <c r="D12" s="225">
        <f>ИБР!AK15</f>
        <v>1.1735684421071415</v>
      </c>
      <c r="E12" s="225">
        <f>ИНП!H15</f>
        <v>2.4517043974330694</v>
      </c>
      <c r="F12" s="225">
        <f t="shared" si="1"/>
        <v>2.0891021856646343</v>
      </c>
      <c r="G12" s="226">
        <f>F12*(ИНП!$G$18)</f>
        <v>8.042624595975298</v>
      </c>
      <c r="H12" s="226">
        <f>2*ИНП!$I$18</f>
        <v>7.699599044186141</v>
      </c>
      <c r="I12" s="233">
        <f>IF((G12-H12)&lt;0,0,'Параметры модели'!$D$29*(G12-H12)*C12*D12)</f>
        <v>0</v>
      </c>
      <c r="J12" s="225">
        <f>F12-I12/(D12*C12*ИНП!$G$18)</f>
        <v>2.0891021856646343</v>
      </c>
      <c r="K12" s="226">
        <f t="shared" si="6"/>
        <v>8.042624595975298</v>
      </c>
      <c r="L12" s="129"/>
      <c r="M12" s="129"/>
      <c r="N12" s="147">
        <f t="shared" si="2"/>
        <v>1</v>
      </c>
      <c r="O12" s="148">
        <f>O15*(ИБР!B15/ИБР!B18)</f>
        <v>2040.2515936981085</v>
      </c>
      <c r="P12" s="225">
        <f>F12+O12/(C12*D12*ИНП!$G$18)</f>
        <v>2.408693543624285</v>
      </c>
      <c r="Q12" s="226">
        <f t="shared" si="3"/>
        <v>9.272987253113437</v>
      </c>
      <c r="R12" s="229"/>
      <c r="S12" s="230">
        <f>IF(ИНП!$G$18*('Параметры модели'!$D$44-F12)*C12*D12+I12&lt;0,0,ИНП!$G$18*('Параметры модели'!$D$44-F12)*C12*D12+I12)</f>
        <v>3165.3440333640083</v>
      </c>
      <c r="T12" s="147"/>
      <c r="U12" s="128">
        <f t="shared" si="4"/>
        <v>3165.344033364009</v>
      </c>
      <c r="V12" s="129">
        <f>F12+(O12+U12)/(C12*D12*ИНП!$G$18)</f>
        <v>2.904522882102414</v>
      </c>
      <c r="W12" s="130">
        <f t="shared" si="5"/>
        <v>11.181830803426259</v>
      </c>
      <c r="X12" s="28"/>
      <c r="Y12" s="27"/>
      <c r="Z12" s="133">
        <f t="shared" si="7"/>
        <v>5205.595627062117</v>
      </c>
    </row>
    <row r="13" spans="1:26" ht="16.5" thickBot="1">
      <c r="A13" s="94">
        <f t="shared" si="0"/>
        <v>3</v>
      </c>
      <c r="B13" s="115" t="s">
        <v>42</v>
      </c>
      <c r="C13" s="233">
        <f>ИБР!B16</f>
        <v>1820</v>
      </c>
      <c r="D13" s="225">
        <f>ИБР!AK16</f>
        <v>1.1410173500652048</v>
      </c>
      <c r="E13" s="225">
        <f>ИНП!H16</f>
        <v>1.28032926408884</v>
      </c>
      <c r="F13" s="234">
        <f t="shared" si="1"/>
        <v>1.12209447473842</v>
      </c>
      <c r="G13" s="226">
        <f>F13*(ИНП!$G$18)</f>
        <v>4.319838772591244</v>
      </c>
      <c r="H13" s="226">
        <f>2*ИНП!$I$18</f>
        <v>7.699599044186141</v>
      </c>
      <c r="I13" s="233">
        <f>IF((G13-H13)&lt;0,0,'Параметры модели'!$D$29*(G13-H13)*C13*D13)</f>
        <v>0</v>
      </c>
      <c r="J13" s="225">
        <f>F13-I13/(D13*C13*ИНП!$G$18)</f>
        <v>1.12209447473842</v>
      </c>
      <c r="K13" s="227">
        <f t="shared" si="6"/>
        <v>4.319838772591244</v>
      </c>
      <c r="L13" s="151"/>
      <c r="M13" s="151"/>
      <c r="N13" s="152">
        <f t="shared" si="2"/>
        <v>1</v>
      </c>
      <c r="O13" s="148">
        <f>O15*(ИБР!B16/ИБР!B18)</f>
        <v>2627.924911911223</v>
      </c>
      <c r="P13" s="225">
        <f>F13+O13/(C13*D13*ИНП!$G$18)</f>
        <v>1.4508031767140557</v>
      </c>
      <c r="Q13" s="227">
        <f t="shared" si="3"/>
        <v>5.58530137636488</v>
      </c>
      <c r="R13" s="231"/>
      <c r="S13" s="230">
        <f>IF(ИНП!$G$18*('Параметры модели'!$D$44-F13)*C13*D13+I13&lt;0,0,ИНП!$G$18*('Параметры модели'!$D$44-F13)*C13*D13+I13)</f>
        <v>11694.932020635464</v>
      </c>
      <c r="T13" s="152"/>
      <c r="U13" s="128">
        <f t="shared" si="4"/>
        <v>11694.932020635466</v>
      </c>
      <c r="V13" s="129">
        <f>F13+(O13+U13)/(C13*D13*ИНП!$G$18)</f>
        <v>2.913640226118399</v>
      </c>
      <c r="W13" s="134">
        <f t="shared" si="5"/>
        <v>11.216930750061758</v>
      </c>
      <c r="X13" s="29"/>
      <c r="Y13" s="30"/>
      <c r="Z13" s="133">
        <f t="shared" si="7"/>
        <v>14322.856932546689</v>
      </c>
    </row>
    <row r="14" spans="1:26" ht="15.75">
      <c r="A14" s="94">
        <f t="shared" si="0"/>
        <v>5</v>
      </c>
      <c r="B14" s="119" t="s">
        <v>43</v>
      </c>
      <c r="C14" s="233">
        <f>ИБР!B17</f>
        <v>1264</v>
      </c>
      <c r="D14" s="225">
        <f>ИБР!AK17</f>
        <v>1.1871837893439676</v>
      </c>
      <c r="E14" s="225">
        <f>ИНП!H17</f>
        <v>1.8255101495375794</v>
      </c>
      <c r="F14" s="235">
        <f t="shared" si="1"/>
        <v>1.5376811627004678</v>
      </c>
      <c r="G14" s="226">
        <f>F14*(ИНП!$G$18)</f>
        <v>5.919764205295778</v>
      </c>
      <c r="H14" s="226">
        <f>2*ИНП!$I$18</f>
        <v>7.699599044186141</v>
      </c>
      <c r="I14" s="233">
        <f>IF((G14-H14)&lt;0,0,'Параметры модели'!$D$29*(G14-H14)*C14*D14)</f>
        <v>0</v>
      </c>
      <c r="J14" s="225">
        <f>F14-I14/(D14*C14*ИНП!$G$18)</f>
        <v>1.5376811627004678</v>
      </c>
      <c r="K14" s="228">
        <f t="shared" si="6"/>
        <v>5.919764205295778</v>
      </c>
      <c r="L14" s="154"/>
      <c r="M14" s="154"/>
      <c r="N14" s="155">
        <f t="shared" si="2"/>
        <v>1</v>
      </c>
      <c r="O14" s="148">
        <f>O15*(ИБР!B17/ИБР!B18)</f>
        <v>1825.1082904702116</v>
      </c>
      <c r="P14" s="225">
        <f>F14+O14/(C14*D14*ИНП!$G$18)</f>
        <v>1.8536072521889966</v>
      </c>
      <c r="Q14" s="228">
        <f t="shared" si="3"/>
        <v>7.136016313625449</v>
      </c>
      <c r="R14" s="232"/>
      <c r="S14" s="230">
        <f>IF(ИНП!$G$18*('Параметры модели'!$D$44-F14)*C14*D14+I14&lt;0,0,ИНП!$G$18*('Параметры модели'!$D$44-F14)*C14*D14+I14)</f>
        <v>6049.9761825958985</v>
      </c>
      <c r="T14" s="155"/>
      <c r="U14" s="128">
        <f t="shared" si="4"/>
        <v>6049.976182595899</v>
      </c>
      <c r="V14" s="129">
        <f>F14+(O14+U14)/(C14*D14*ИНП!$G$18)</f>
        <v>2.9008576136312922</v>
      </c>
      <c r="W14" s="137">
        <f t="shared" si="5"/>
        <v>11.167720254617794</v>
      </c>
      <c r="X14" s="31"/>
      <c r="Y14" s="32"/>
      <c r="Z14" s="133">
        <f t="shared" si="7"/>
        <v>7875.084473066111</v>
      </c>
    </row>
    <row r="15" spans="1:26" ht="16.5" thickBot="1">
      <c r="A15" s="25"/>
      <c r="B15" s="26" t="s">
        <v>57</v>
      </c>
      <c r="C15" s="236">
        <f>ИБР!B18</f>
        <v>24691</v>
      </c>
      <c r="D15" s="237">
        <f>ИБР!AK18</f>
        <v>0.9999999999999999</v>
      </c>
      <c r="E15" s="237">
        <f>ИНП!H18</f>
        <v>1</v>
      </c>
      <c r="F15" s="238">
        <f t="shared" si="1"/>
        <v>1</v>
      </c>
      <c r="G15" s="239">
        <f>F15*(ИНП!$G$18)</f>
        <v>3.8497995220930705</v>
      </c>
      <c r="H15" s="241">
        <f>2*ИНП!$I$18</f>
        <v>7.699599044186141</v>
      </c>
      <c r="I15" s="240">
        <f>SUM(I9:I14)</f>
        <v>0</v>
      </c>
      <c r="J15" s="238">
        <f>F15-I15/(D15*C15*ИНП!$G$18)</f>
        <v>1</v>
      </c>
      <c r="K15" s="239">
        <f t="shared" si="6"/>
        <v>3.8497995220930705</v>
      </c>
      <c r="L15" s="140">
        <f>'Параметры модели'!$D$28+$I$15</f>
        <v>186308</v>
      </c>
      <c r="M15" s="140">
        <f>'Параметры модели'!$D$41</f>
        <v>35651.7</v>
      </c>
      <c r="N15" s="163"/>
      <c r="O15" s="140">
        <f>'Параметры модели'!$D$41</f>
        <v>35651.7</v>
      </c>
      <c r="P15" s="141"/>
      <c r="Q15" s="142"/>
      <c r="R15" s="164">
        <f>'Параметры модели'!$D$42</f>
        <v>150656.3</v>
      </c>
      <c r="S15" s="140">
        <f>SUM(S9:S14)</f>
        <v>150656.29999999996</v>
      </c>
      <c r="T15" s="165">
        <f>$R$15/$S$15</f>
        <v>1.0000000000000002</v>
      </c>
      <c r="U15" s="140">
        <f>SUM(U9:U14)</f>
        <v>150656.3</v>
      </c>
      <c r="V15" s="141"/>
      <c r="W15" s="142"/>
      <c r="X15" s="35"/>
      <c r="Y15" s="33"/>
      <c r="Z15" s="144">
        <f t="shared" si="7"/>
        <v>186308</v>
      </c>
    </row>
    <row r="16" spans="3:27" ht="12.75">
      <c r="C16" s="107"/>
      <c r="D16" s="107"/>
      <c r="E16" s="107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7"/>
    </row>
    <row r="18" spans="3:19" ht="15">
      <c r="C18" s="55" t="s">
        <v>89</v>
      </c>
      <c r="D18" s="56"/>
      <c r="E18" s="56"/>
      <c r="F18" s="57"/>
      <c r="G18" s="57"/>
      <c r="H18" s="57"/>
      <c r="I18" s="57"/>
      <c r="J18" s="57"/>
      <c r="S18" s="4" t="s">
        <v>90</v>
      </c>
    </row>
    <row r="20" ht="12.75">
      <c r="V20" s="4" t="s">
        <v>71</v>
      </c>
    </row>
    <row r="21" spans="1:26" ht="12.75" customHeight="1">
      <c r="A21" s="311" t="s">
        <v>12</v>
      </c>
      <c r="B21" s="311" t="s">
        <v>0</v>
      </c>
      <c r="C21" s="311" t="s">
        <v>1</v>
      </c>
      <c r="D21" s="311" t="s">
        <v>4</v>
      </c>
      <c r="E21" s="311" t="s">
        <v>5</v>
      </c>
      <c r="F21" s="311" t="s">
        <v>28</v>
      </c>
      <c r="G21" s="311" t="s">
        <v>29</v>
      </c>
      <c r="H21" s="317" t="s">
        <v>59</v>
      </c>
      <c r="I21" s="311" t="s">
        <v>58</v>
      </c>
      <c r="J21" s="311" t="s">
        <v>60</v>
      </c>
      <c r="K21" s="311" t="s">
        <v>61</v>
      </c>
      <c r="L21" s="311" t="s">
        <v>6</v>
      </c>
      <c r="M21" s="311" t="s">
        <v>31</v>
      </c>
      <c r="N21" s="311" t="s">
        <v>64</v>
      </c>
      <c r="O21" s="314" t="s">
        <v>69</v>
      </c>
      <c r="P21" s="311" t="s">
        <v>7</v>
      </c>
      <c r="Q21" s="311" t="s">
        <v>33</v>
      </c>
      <c r="R21" s="311" t="s">
        <v>32</v>
      </c>
      <c r="S21" s="311" t="s">
        <v>35</v>
      </c>
      <c r="T21" s="311" t="s">
        <v>36</v>
      </c>
      <c r="U21" s="295" t="s">
        <v>68</v>
      </c>
      <c r="V21" s="311" t="s">
        <v>65</v>
      </c>
      <c r="W21" s="311" t="s">
        <v>66</v>
      </c>
      <c r="X21" s="282" t="s">
        <v>8</v>
      </c>
      <c r="Y21" s="282" t="s">
        <v>9</v>
      </c>
      <c r="Z21" s="308" t="s">
        <v>67</v>
      </c>
    </row>
    <row r="22" spans="1:26" ht="12.75" customHeight="1">
      <c r="A22" s="312"/>
      <c r="B22" s="312"/>
      <c r="C22" s="312"/>
      <c r="D22" s="312"/>
      <c r="E22" s="312"/>
      <c r="F22" s="312"/>
      <c r="G22" s="312"/>
      <c r="H22" s="317"/>
      <c r="I22" s="312"/>
      <c r="J22" s="312"/>
      <c r="K22" s="312"/>
      <c r="L22" s="312"/>
      <c r="M22" s="312"/>
      <c r="N22" s="312"/>
      <c r="O22" s="315"/>
      <c r="P22" s="312"/>
      <c r="Q22" s="312"/>
      <c r="R22" s="312"/>
      <c r="S22" s="312"/>
      <c r="T22" s="312"/>
      <c r="U22" s="296"/>
      <c r="V22" s="312"/>
      <c r="W22" s="312"/>
      <c r="X22" s="283"/>
      <c r="Y22" s="283"/>
      <c r="Z22" s="309"/>
    </row>
    <row r="23" spans="1:26" ht="90" customHeight="1">
      <c r="A23" s="313"/>
      <c r="B23" s="313"/>
      <c r="C23" s="313"/>
      <c r="D23" s="313"/>
      <c r="E23" s="313"/>
      <c r="F23" s="313"/>
      <c r="G23" s="313"/>
      <c r="H23" s="317"/>
      <c r="I23" s="313"/>
      <c r="J23" s="313"/>
      <c r="K23" s="313"/>
      <c r="L23" s="313"/>
      <c r="M23" s="313"/>
      <c r="N23" s="313"/>
      <c r="O23" s="316"/>
      <c r="P23" s="313"/>
      <c r="Q23" s="313"/>
      <c r="R23" s="313"/>
      <c r="S23" s="313"/>
      <c r="T23" s="313"/>
      <c r="U23" s="297"/>
      <c r="V23" s="313"/>
      <c r="W23" s="313"/>
      <c r="X23" s="284"/>
      <c r="Y23" s="284"/>
      <c r="Z23" s="310"/>
    </row>
    <row r="24" spans="1:26" ht="15.75">
      <c r="A24" s="94">
        <f aca="true" t="shared" si="8" ref="A24:A29">RANK(F24,$F$24:$F$29,1)</f>
        <v>4</v>
      </c>
      <c r="B24" s="109" t="s">
        <v>38</v>
      </c>
      <c r="C24" s="145">
        <f>ИБР!B49</f>
        <v>7922</v>
      </c>
      <c r="D24" s="129">
        <f>ИБР!AK49</f>
        <v>0.9508438180057242</v>
      </c>
      <c r="E24" s="129">
        <f>ИНП!H49</f>
        <v>1.1042988796501136</v>
      </c>
      <c r="F24" s="129">
        <f aca="true" t="shared" si="9" ref="F24:F30">E24/D24</f>
        <v>1.1613882939957925</v>
      </c>
      <c r="G24" s="130">
        <f>F24*(ИНП!$G$55)</f>
        <v>4.677119644903042</v>
      </c>
      <c r="H24" s="146">
        <f>2*ИНП!$I$55</f>
        <v>8.054359888218379</v>
      </c>
      <c r="I24" s="145">
        <f>IF((G24-H24)&lt;0,0,'Параметры модели'!$E$29*(G24-H24)*C24*D24)</f>
        <v>0</v>
      </c>
      <c r="J24" s="129">
        <f>F24-I24/(D24*C24*ИНП!$G$55)</f>
        <v>1.1613882939957925</v>
      </c>
      <c r="K24" s="130">
        <f>G24-I24/(C24*D24)</f>
        <v>4.677119644903042</v>
      </c>
      <c r="L24" s="129"/>
      <c r="M24" s="111"/>
      <c r="N24" s="114">
        <f aca="true" t="shared" si="10" ref="N24:N29">1-1*(I24&gt;0)</f>
        <v>1</v>
      </c>
      <c r="O24" s="62">
        <f>O30*(ИБР!B49/ИБР!B55)</f>
        <v>12010.632400469809</v>
      </c>
      <c r="P24" s="129">
        <f>F24+O24/(C24*D24*ИНП!$G$55)</f>
        <v>1.5573204860945304</v>
      </c>
      <c r="Q24" s="130">
        <f aca="true" t="shared" si="11" ref="Q24:Q29">G24+O24/(C24*D24)</f>
        <v>6.271609828150266</v>
      </c>
      <c r="R24" s="149"/>
      <c r="S24" s="150">
        <f>IF(ИНП!$G$55*('Параметры модели'!$E$44-F24)*C24*D24+I24&lt;0,0,ИНП!$G$55*('Параметры модели'!$E$44-F24)*C24*D24+I24)</f>
        <v>43366.05181608726</v>
      </c>
      <c r="T24" s="147"/>
      <c r="U24" s="128">
        <f aca="true" t="shared" si="12" ref="U24:U29">$T$30*S24</f>
        <v>43366.05181608728</v>
      </c>
      <c r="V24" s="129">
        <f>F24+(O24+U24)/(C24*D24*ИНП!$G$55)</f>
        <v>2.9868885043064</v>
      </c>
      <c r="W24" s="130">
        <f aca="true" t="shared" si="13" ref="W24:W29">G24+(O24+U24)/(C24*D24)</f>
        <v>12.02873747983303</v>
      </c>
      <c r="X24" s="131"/>
      <c r="Y24" s="132"/>
      <c r="Z24" s="133">
        <f>O24+U24</f>
        <v>55376.68421655709</v>
      </c>
    </row>
    <row r="25" spans="1:26" ht="15.75">
      <c r="A25" s="94">
        <f t="shared" si="8"/>
        <v>2</v>
      </c>
      <c r="B25" s="109" t="s">
        <v>39</v>
      </c>
      <c r="C25" s="145">
        <f>ИБР!B50</f>
        <v>8654</v>
      </c>
      <c r="D25" s="129">
        <f>ИБР!AK50</f>
        <v>0.9181850767061228</v>
      </c>
      <c r="E25" s="129">
        <f>ИНП!H50</f>
        <v>0.6775000481301029</v>
      </c>
      <c r="F25" s="129">
        <f t="shared" si="9"/>
        <v>0.7378687209342933</v>
      </c>
      <c r="G25" s="130">
        <f>F25*(ИНП!$G$55)</f>
        <v>2.9715301143320865</v>
      </c>
      <c r="H25" s="146">
        <f>2*ИНП!$I$55</f>
        <v>8.054359888218379</v>
      </c>
      <c r="I25" s="145">
        <f>IF((G25-H25)&lt;0,0,'Параметры модели'!$E$29*(G25-H25)*C25*D25)</f>
        <v>0</v>
      </c>
      <c r="J25" s="129">
        <f>F25-I25/(D25*C25*ИНП!$G$55)</f>
        <v>0.7378687209342933</v>
      </c>
      <c r="K25" s="130">
        <f aca="true" t="shared" si="14" ref="K25:K30">G25-I25/(C25*D25)</f>
        <v>2.9715301143320865</v>
      </c>
      <c r="L25" s="129"/>
      <c r="M25" s="111"/>
      <c r="N25" s="114">
        <f t="shared" si="10"/>
        <v>1</v>
      </c>
      <c r="O25" s="62">
        <f>O30*(ИБР!B50/ИБР!B55)</f>
        <v>13120.42575027338</v>
      </c>
      <c r="P25" s="129">
        <f>F25+O25/(C25*D25*ИНП!$G$55)</f>
        <v>1.1478837459628846</v>
      </c>
      <c r="Q25" s="130">
        <f t="shared" si="11"/>
        <v>4.622734399910656</v>
      </c>
      <c r="R25" s="149"/>
      <c r="S25" s="150">
        <f>IF(ИНП!$G$55*('Параметры модели'!$E$44-F25)*C25*D25+I25&lt;0,0,ИНП!$G$55*('Параметры модели'!$E$44-F25)*C25*D25+I25)</f>
        <v>59298.554116058935</v>
      </c>
      <c r="T25" s="147"/>
      <c r="U25" s="128">
        <f t="shared" si="12"/>
        <v>59298.554116058964</v>
      </c>
      <c r="V25" s="129">
        <f>F25+(O25+U25)/(C25*D25*ИНП!$G$55)</f>
        <v>3.0009713372362534</v>
      </c>
      <c r="W25" s="130">
        <f t="shared" si="13"/>
        <v>12.085451582164373</v>
      </c>
      <c r="X25" s="131"/>
      <c r="Y25" s="132"/>
      <c r="Z25" s="133">
        <f aca="true" t="shared" si="15" ref="Z25:Z30">O25+U25</f>
        <v>72418.97986633235</v>
      </c>
    </row>
    <row r="26" spans="1:26" ht="15.75">
      <c r="A26" s="94">
        <f t="shared" si="8"/>
        <v>1</v>
      </c>
      <c r="B26" s="109" t="s">
        <v>40</v>
      </c>
      <c r="C26" s="145">
        <f>ИБР!B51</f>
        <v>3618</v>
      </c>
      <c r="D26" s="129">
        <f>ИБР!AK51</f>
        <v>1.0992251096536556</v>
      </c>
      <c r="E26" s="129">
        <f>ИНП!H51</f>
        <v>0.5369676747840202</v>
      </c>
      <c r="F26" s="129">
        <f t="shared" si="9"/>
        <v>0.4884965509505221</v>
      </c>
      <c r="G26" s="130">
        <f>F26*(ИНП!$G$55)</f>
        <v>1.9672635127544553</v>
      </c>
      <c r="H26" s="146">
        <f>2*ИНП!$I$55</f>
        <v>8.054359888218379</v>
      </c>
      <c r="I26" s="145">
        <f>IF((G26-H26)&lt;0,0,'Параметры модели'!$E$29*(G26-H26)*C26*D26)</f>
        <v>0</v>
      </c>
      <c r="J26" s="129">
        <f>F26-I26/(D26*C26*ИНП!$G$55)</f>
        <v>0.4884965509505221</v>
      </c>
      <c r="K26" s="130">
        <f t="shared" si="14"/>
        <v>1.9672635127544553</v>
      </c>
      <c r="L26" s="129"/>
      <c r="M26" s="111"/>
      <c r="N26" s="114">
        <f t="shared" si="10"/>
        <v>1</v>
      </c>
      <c r="O26" s="62">
        <f>O30*(ИБР!B51/ИБР!B55)</f>
        <v>5485.29008140618</v>
      </c>
      <c r="P26" s="129">
        <f>F26+O26/(C26*D26*ИНП!$G$55)</f>
        <v>0.8309829751599891</v>
      </c>
      <c r="Q26" s="130">
        <f t="shared" si="11"/>
        <v>3.346517971460493</v>
      </c>
      <c r="R26" s="149"/>
      <c r="S26" s="150">
        <f>IF(ИНП!$G$55*('Параметры модели'!$E$44-F26)*C26*D26+I26&lt;0,0,ИНП!$G$55*('Параметры модели'!$E$44-F26)*C26*D26+I26)</f>
        <v>33673.164422791764</v>
      </c>
      <c r="T26" s="147"/>
      <c r="U26" s="128">
        <f t="shared" si="12"/>
        <v>33673.16442279178</v>
      </c>
      <c r="V26" s="129">
        <f>F26+(O26+U26)/(C26*D26*ИНП!$G$55)</f>
        <v>2.933442736417129</v>
      </c>
      <c r="W26" s="130">
        <f t="shared" si="13"/>
        <v>11.813501755291842</v>
      </c>
      <c r="X26" s="131"/>
      <c r="Y26" s="132"/>
      <c r="Z26" s="133">
        <f t="shared" si="15"/>
        <v>39158.45450419796</v>
      </c>
    </row>
    <row r="27" spans="1:26" ht="15.75">
      <c r="A27" s="94">
        <f t="shared" si="8"/>
        <v>6</v>
      </c>
      <c r="B27" s="109" t="s">
        <v>41</v>
      </c>
      <c r="C27" s="145">
        <f>ИБР!B52</f>
        <v>1413</v>
      </c>
      <c r="D27" s="129">
        <f>ИБР!AK52</f>
        <v>1.1735480132837182</v>
      </c>
      <c r="E27" s="129">
        <f>ИНП!H52</f>
        <v>2.4614942798421717</v>
      </c>
      <c r="F27" s="129">
        <f t="shared" si="9"/>
        <v>2.0974806756773727</v>
      </c>
      <c r="G27" s="130">
        <f>F27*(ИНП!$G$55)</f>
        <v>8.446932110244507</v>
      </c>
      <c r="H27" s="146">
        <f>2*ИНП!$I$55</f>
        <v>8.054359888218379</v>
      </c>
      <c r="I27" s="145">
        <f>IF((G27-H27)&lt;0,0,'Параметры модели'!$E$29*(G27-H27)*C27*D27)</f>
        <v>0</v>
      </c>
      <c r="J27" s="129">
        <f>F27-I27/(D27*C27*ИНП!$G$55)</f>
        <v>2.0974806756773727</v>
      </c>
      <c r="K27" s="130">
        <f t="shared" si="14"/>
        <v>8.446932110244507</v>
      </c>
      <c r="L27" s="129"/>
      <c r="M27" s="111"/>
      <c r="N27" s="114">
        <f t="shared" si="10"/>
        <v>1</v>
      </c>
      <c r="O27" s="62">
        <f>O30*(ИБР!B52/ИБР!B55)</f>
        <v>2142.265031792961</v>
      </c>
      <c r="P27" s="129">
        <f>F27+O27/(C27*D27*ИНП!$G$55)</f>
        <v>2.4182768194611586</v>
      </c>
      <c r="Q27" s="130">
        <f t="shared" si="11"/>
        <v>9.738835906638137</v>
      </c>
      <c r="R27" s="149"/>
      <c r="S27" s="150">
        <f>IF(ИНП!$G$55*('Параметры модели'!$E$44-F27)*C27*D27+I27&lt;0,0,ИНП!$G$55*('Параметры модели'!$E$44-F27)*C27*D27+I27)</f>
        <v>3295.412431432235</v>
      </c>
      <c r="T27" s="147"/>
      <c r="U27" s="128">
        <f t="shared" si="12"/>
        <v>3295.412431432236</v>
      </c>
      <c r="V27" s="129">
        <f>F27+(O27+U27)/(C27*D27*ИНП!$G$55)</f>
        <v>2.911752455991447</v>
      </c>
      <c r="W27" s="130">
        <f t="shared" si="13"/>
        <v>11.726151092979432</v>
      </c>
      <c r="X27" s="131"/>
      <c r="Y27" s="132"/>
      <c r="Z27" s="133">
        <f t="shared" si="15"/>
        <v>5437.677463225197</v>
      </c>
    </row>
    <row r="28" spans="1:26" ht="16.5" thickBot="1">
      <c r="A28" s="94">
        <f t="shared" si="8"/>
        <v>3</v>
      </c>
      <c r="B28" s="115" t="s">
        <v>42</v>
      </c>
      <c r="C28" s="145">
        <f>ИБР!B53</f>
        <v>1820</v>
      </c>
      <c r="D28" s="129">
        <f>ИБР!AK53</f>
        <v>1.1410044504269898</v>
      </c>
      <c r="E28" s="129">
        <f>ИНП!H53</f>
        <v>1.2869284163160772</v>
      </c>
      <c r="F28" s="151">
        <f t="shared" si="9"/>
        <v>1.1278907946717291</v>
      </c>
      <c r="G28" s="130">
        <f>F28*(ИНП!$G$55)</f>
        <v>4.542219187447364</v>
      </c>
      <c r="H28" s="146">
        <f>2*ИНП!$I$55</f>
        <v>8.054359888218379</v>
      </c>
      <c r="I28" s="145">
        <f>IF((G28-H28)&lt;0,0,'Параметры модели'!$E$29*(G28-H28)*C28*D28)</f>
        <v>0</v>
      </c>
      <c r="J28" s="129">
        <f>F28-I28/(D28*C28*ИНП!$G$55)</f>
        <v>1.1278907946717291</v>
      </c>
      <c r="K28" s="134">
        <f t="shared" si="14"/>
        <v>4.542219187447364</v>
      </c>
      <c r="L28" s="151"/>
      <c r="M28" s="116"/>
      <c r="N28" s="118">
        <f t="shared" si="10"/>
        <v>1</v>
      </c>
      <c r="O28" s="62">
        <f>O30*(ИБР!B53/ИБР!B55)</f>
        <v>2759.3222631728163</v>
      </c>
      <c r="P28" s="129">
        <f>F28+O28/(C28*D28*ИНП!$G$55)</f>
        <v>1.4578366393751887</v>
      </c>
      <c r="Q28" s="134">
        <f t="shared" si="11"/>
        <v>5.870970475879301</v>
      </c>
      <c r="R28" s="153"/>
      <c r="S28" s="150">
        <f>IF(ИНП!$G$55*('Параметры модели'!$E$44-F28)*C28*D28+I28&lt;0,0,ИНП!$G$55*('Параметры модели'!$E$44-F28)*C28*D28+I28)</f>
        <v>12235.55113611354</v>
      </c>
      <c r="T28" s="152"/>
      <c r="U28" s="128">
        <f t="shared" si="12"/>
        <v>12235.551136113545</v>
      </c>
      <c r="V28" s="129">
        <f>F28+(O28+U28)/(C28*D28*ИНП!$G$55)</f>
        <v>2.9209021569111218</v>
      </c>
      <c r="W28" s="134">
        <f t="shared" si="13"/>
        <v>11.76299858501774</v>
      </c>
      <c r="X28" s="135"/>
      <c r="Y28" s="136"/>
      <c r="Z28" s="133">
        <f t="shared" si="15"/>
        <v>14994.873399286362</v>
      </c>
    </row>
    <row r="29" spans="1:26" ht="15.75">
      <c r="A29" s="94">
        <f t="shared" si="8"/>
        <v>5</v>
      </c>
      <c r="B29" s="119" t="s">
        <v>43</v>
      </c>
      <c r="C29" s="145">
        <f>ИБР!B54</f>
        <v>1264</v>
      </c>
      <c r="D29" s="129">
        <f>ИБР!AK54</f>
        <v>1.1871785843907599</v>
      </c>
      <c r="E29" s="129">
        <f>ИНП!H54</f>
        <v>1.8327600288077985</v>
      </c>
      <c r="F29" s="154">
        <f t="shared" si="9"/>
        <v>1.543794718760312</v>
      </c>
      <c r="G29" s="130">
        <f>F29*(ИНП!$G$55)</f>
        <v>6.217139129213215</v>
      </c>
      <c r="H29" s="146">
        <f>2*ИНП!$I$55</f>
        <v>8.054359888218379</v>
      </c>
      <c r="I29" s="145">
        <f>IF((G29-H29)&lt;0,0,'Параметры модели'!$E$29*(G29-H29)*C29*D29)</f>
        <v>0</v>
      </c>
      <c r="J29" s="129">
        <f>F29-I29/(D29*C29*ИНП!$G$55)</f>
        <v>1.543794718760312</v>
      </c>
      <c r="K29" s="137">
        <f t="shared" si="14"/>
        <v>6.217139129213215</v>
      </c>
      <c r="L29" s="154"/>
      <c r="M29" s="120"/>
      <c r="N29" s="122">
        <f t="shared" si="10"/>
        <v>1</v>
      </c>
      <c r="O29" s="62">
        <f>O30*(ИБР!B54/ИБР!B55)</f>
        <v>1916.3644728848572</v>
      </c>
      <c r="P29" s="129">
        <f>F29+O29/(C29*D29*ИНП!$G$55)</f>
        <v>1.860907646972151</v>
      </c>
      <c r="Q29" s="137">
        <f t="shared" si="11"/>
        <v>7.494209953725671</v>
      </c>
      <c r="R29" s="156"/>
      <c r="S29" s="150">
        <f>IF(ИНП!$G$55*('Параметры модели'!$E$44-F29)*C29*D29+I29&lt;0,0,ИНП!$G$55*('Параметры модели'!$E$44-F29)*C29*D29+I29)</f>
        <v>6328.16607751622</v>
      </c>
      <c r="T29" s="155"/>
      <c r="U29" s="128">
        <f t="shared" si="12"/>
        <v>6328.166077516223</v>
      </c>
      <c r="V29" s="129">
        <f>F29+(O29+U29)/(C29*D29*ИНП!$G$55)</f>
        <v>2.9080692404195005</v>
      </c>
      <c r="W29" s="137">
        <f t="shared" si="13"/>
        <v>11.711318121098259</v>
      </c>
      <c r="X29" s="138"/>
      <c r="Y29" s="139"/>
      <c r="Z29" s="133">
        <f t="shared" si="15"/>
        <v>8244.53055040108</v>
      </c>
    </row>
    <row r="30" spans="1:26" ht="16.5" thickBot="1">
      <c r="A30" s="25"/>
      <c r="B30" s="26" t="s">
        <v>57</v>
      </c>
      <c r="C30" s="157">
        <f>ИБР!B55</f>
        <v>24691</v>
      </c>
      <c r="D30" s="158">
        <f>ИБР!AK55</f>
        <v>0.9999999999999999</v>
      </c>
      <c r="E30" s="158">
        <f>ИНП!H55</f>
        <v>1</v>
      </c>
      <c r="F30" s="159">
        <f t="shared" si="9"/>
        <v>1</v>
      </c>
      <c r="G30" s="160">
        <f>F30*(ИНП!$G$55)</f>
        <v>4.027179944109189</v>
      </c>
      <c r="H30" s="161">
        <f>2*ИНП!$I$55</f>
        <v>8.054359888218379</v>
      </c>
      <c r="I30" s="162">
        <f>SUM(I24:I29)</f>
        <v>0</v>
      </c>
      <c r="J30" s="159">
        <f>F30-I30/(D30*C30*ИНП!$G$55)</f>
        <v>1</v>
      </c>
      <c r="K30" s="160">
        <f t="shared" si="14"/>
        <v>4.027179944109189</v>
      </c>
      <c r="L30" s="140">
        <f>'Параметры модели'!$E$28+$I$30</f>
        <v>195631.2</v>
      </c>
      <c r="M30" s="61">
        <f>'Параметры модели'!$E$41</f>
        <v>37434.3</v>
      </c>
      <c r="N30" s="36"/>
      <c r="O30" s="61">
        <f>'Параметры модели'!$E$41</f>
        <v>37434.3</v>
      </c>
      <c r="P30" s="141"/>
      <c r="Q30" s="142"/>
      <c r="R30" s="164">
        <f>'Параметры модели'!$E$42</f>
        <v>158196.9</v>
      </c>
      <c r="S30" s="140">
        <f>SUM(S24:S29)</f>
        <v>158196.89999999994</v>
      </c>
      <c r="T30" s="165">
        <f>$R$30/$S$30</f>
        <v>1.0000000000000004</v>
      </c>
      <c r="U30" s="140">
        <f>SUM(U24:U29)</f>
        <v>158196.90000000002</v>
      </c>
      <c r="V30" s="141"/>
      <c r="W30" s="142"/>
      <c r="X30" s="143"/>
      <c r="Y30" s="141"/>
      <c r="Z30" s="144">
        <f t="shared" si="15"/>
        <v>195631.2</v>
      </c>
    </row>
    <row r="31" spans="3:26" ht="12.75">
      <c r="C31" s="1" t="s">
        <v>72</v>
      </c>
      <c r="D31" s="1" t="s">
        <v>72</v>
      </c>
      <c r="E31" s="1" t="s">
        <v>72</v>
      </c>
      <c r="F31" s="4" t="s">
        <v>72</v>
      </c>
      <c r="G31" s="4" t="s">
        <v>72</v>
      </c>
      <c r="H31" s="4" t="s">
        <v>72</v>
      </c>
      <c r="I31" s="4" t="s">
        <v>72</v>
      </c>
      <c r="J31" s="4" t="s">
        <v>72</v>
      </c>
      <c r="K31" s="4" t="s">
        <v>72</v>
      </c>
      <c r="L31" s="4" t="s">
        <v>72</v>
      </c>
      <c r="M31" s="4" t="s">
        <v>72</v>
      </c>
      <c r="O31" s="4" t="s">
        <v>72</v>
      </c>
      <c r="P31" s="4" t="s">
        <v>72</v>
      </c>
      <c r="Q31" s="4" t="s">
        <v>72</v>
      </c>
      <c r="R31" s="4" t="s">
        <v>72</v>
      </c>
      <c r="S31" s="4" t="s">
        <v>72</v>
      </c>
      <c r="T31" s="4" t="s">
        <v>72</v>
      </c>
      <c r="U31" s="4" t="s">
        <v>72</v>
      </c>
      <c r="V31" s="4" t="s">
        <v>72</v>
      </c>
      <c r="W31" s="4" t="s">
        <v>72</v>
      </c>
      <c r="Z31" s="4" t="s">
        <v>72</v>
      </c>
    </row>
    <row r="33" spans="3:10" ht="15">
      <c r="C33" s="55" t="s">
        <v>104</v>
      </c>
      <c r="D33" s="56"/>
      <c r="E33" s="56"/>
      <c r="F33" s="57"/>
      <c r="G33" s="57"/>
      <c r="H33" s="57"/>
      <c r="I33" s="57"/>
      <c r="J33" s="57"/>
    </row>
    <row r="35" ht="12.75">
      <c r="W35" s="4" t="s">
        <v>71</v>
      </c>
    </row>
    <row r="36" spans="1:26" ht="12.75" customHeight="1">
      <c r="A36" s="311" t="s">
        <v>12</v>
      </c>
      <c r="B36" s="311" t="s">
        <v>0</v>
      </c>
      <c r="C36" s="311" t="s">
        <v>1</v>
      </c>
      <c r="D36" s="311" t="s">
        <v>4</v>
      </c>
      <c r="E36" s="311" t="s">
        <v>5</v>
      </c>
      <c r="F36" s="311" t="s">
        <v>28</v>
      </c>
      <c r="G36" s="311" t="s">
        <v>29</v>
      </c>
      <c r="H36" s="317" t="s">
        <v>59</v>
      </c>
      <c r="I36" s="311" t="s">
        <v>58</v>
      </c>
      <c r="J36" s="311" t="s">
        <v>60</v>
      </c>
      <c r="K36" s="311" t="s">
        <v>61</v>
      </c>
      <c r="L36" s="311" t="s">
        <v>6</v>
      </c>
      <c r="M36" s="311" t="s">
        <v>31</v>
      </c>
      <c r="N36" s="311" t="s">
        <v>64</v>
      </c>
      <c r="O36" s="314" t="s">
        <v>69</v>
      </c>
      <c r="P36" s="311" t="s">
        <v>7</v>
      </c>
      <c r="Q36" s="311" t="s">
        <v>33</v>
      </c>
      <c r="R36" s="311" t="s">
        <v>32</v>
      </c>
      <c r="S36" s="311" t="s">
        <v>35</v>
      </c>
      <c r="T36" s="311" t="s">
        <v>36</v>
      </c>
      <c r="U36" s="295" t="s">
        <v>68</v>
      </c>
      <c r="V36" s="311" t="s">
        <v>65</v>
      </c>
      <c r="W36" s="311" t="s">
        <v>66</v>
      </c>
      <c r="X36" s="282" t="s">
        <v>8</v>
      </c>
      <c r="Y36" s="282" t="s">
        <v>9</v>
      </c>
      <c r="Z36" s="308" t="s">
        <v>67</v>
      </c>
    </row>
    <row r="37" spans="1:26" ht="12.75" customHeight="1">
      <c r="A37" s="312"/>
      <c r="B37" s="312"/>
      <c r="C37" s="312"/>
      <c r="D37" s="312"/>
      <c r="E37" s="312"/>
      <c r="F37" s="312"/>
      <c r="G37" s="312"/>
      <c r="H37" s="317"/>
      <c r="I37" s="312"/>
      <c r="J37" s="312"/>
      <c r="K37" s="312"/>
      <c r="L37" s="312"/>
      <c r="M37" s="312"/>
      <c r="N37" s="312"/>
      <c r="O37" s="315"/>
      <c r="P37" s="312"/>
      <c r="Q37" s="312"/>
      <c r="R37" s="312"/>
      <c r="S37" s="312"/>
      <c r="T37" s="312"/>
      <c r="U37" s="296"/>
      <c r="V37" s="312"/>
      <c r="W37" s="312"/>
      <c r="X37" s="283"/>
      <c r="Y37" s="283"/>
      <c r="Z37" s="309"/>
    </row>
    <row r="38" spans="1:26" ht="121.5" customHeight="1">
      <c r="A38" s="313"/>
      <c r="B38" s="313"/>
      <c r="C38" s="313"/>
      <c r="D38" s="313"/>
      <c r="E38" s="313"/>
      <c r="F38" s="313"/>
      <c r="G38" s="313"/>
      <c r="H38" s="317"/>
      <c r="I38" s="313"/>
      <c r="J38" s="313"/>
      <c r="K38" s="313"/>
      <c r="L38" s="313"/>
      <c r="M38" s="313"/>
      <c r="N38" s="313"/>
      <c r="O38" s="316"/>
      <c r="P38" s="313"/>
      <c r="Q38" s="313"/>
      <c r="R38" s="313"/>
      <c r="S38" s="313"/>
      <c r="T38" s="313"/>
      <c r="U38" s="297"/>
      <c r="V38" s="313"/>
      <c r="W38" s="313"/>
      <c r="X38" s="284"/>
      <c r="Y38" s="284"/>
      <c r="Z38" s="310"/>
    </row>
    <row r="39" spans="1:26" ht="15.75">
      <c r="A39" s="94">
        <f aca="true" t="shared" si="16" ref="A39:A44">RANK(F39,$F$39:$F$44,1)</f>
        <v>4</v>
      </c>
      <c r="B39" s="109" t="s">
        <v>38</v>
      </c>
      <c r="C39" s="110">
        <f>ИБР!B64</f>
        <v>7922</v>
      </c>
      <c r="D39" s="111">
        <f>ИБР!AK64</f>
        <v>0.9508759175726009</v>
      </c>
      <c r="E39" s="111">
        <f>ИНП!H63</f>
        <v>1.0991228670093731</v>
      </c>
      <c r="F39" s="111">
        <f aca="true" t="shared" si="17" ref="F39:F45">E39/D39</f>
        <v>1.1559056725458117</v>
      </c>
      <c r="G39" s="112">
        <f>F39*(ИНП!$G$69)</f>
        <v>4.902334950581833</v>
      </c>
      <c r="H39" s="113">
        <f>2*ИНП!$I$69</f>
        <v>8.482240492487142</v>
      </c>
      <c r="I39" s="110">
        <f>IF((G39-H39)&lt;0,0,'Параметры модели'!$F$29*(G39-H39)*C39*D39)</f>
        <v>0</v>
      </c>
      <c r="J39" s="111">
        <f>F39-I39/(D39*C39*ИНП!$G$69)</f>
        <v>1.1559056725458117</v>
      </c>
      <c r="K39" s="112">
        <f>G39-I39/(C39*D39)</f>
        <v>4.902334950581833</v>
      </c>
      <c r="L39" s="111"/>
      <c r="M39" s="111"/>
      <c r="N39" s="114">
        <f aca="true" t="shared" si="18" ref="N39:N44">1-1*(I39&gt;0)</f>
        <v>1</v>
      </c>
      <c r="O39" s="62">
        <f>O45*(ИБР!B64/ИБР!B70)</f>
        <v>12611.159207808514</v>
      </c>
      <c r="P39" s="111">
        <f>F39+O39/(C39*D39*ИНП!$G$69)</f>
        <v>1.5506498529399302</v>
      </c>
      <c r="Q39" s="112">
        <f aca="true" t="shared" si="19" ref="Q39:Q44">G39+O39/(C39*D39)</f>
        <v>6.576492486138154</v>
      </c>
      <c r="R39" s="123"/>
      <c r="S39" s="127">
        <f>IF(ИНП!$G$69*('Параметры модели'!$F$44-F39)*C39*D39+I39&lt;0,0,ИНП!$G$69*('Параметры модели'!$F$44-F39)*C39*D39+I39)</f>
        <v>45703.27522886788</v>
      </c>
      <c r="T39" s="114"/>
      <c r="U39" s="60">
        <f aca="true" t="shared" si="20" ref="U39:U44">$T$45*S39</f>
        <v>45703.275228867904</v>
      </c>
      <c r="V39" s="111">
        <f>F39+(O39+U39)/(C39*D39*ИНП!$G$69)</f>
        <v>2.9812163555319904</v>
      </c>
      <c r="W39" s="112">
        <f aca="true" t="shared" si="21" ref="W39:W44">G39+(O39+U39)/(C39*D39)</f>
        <v>12.643697043879197</v>
      </c>
      <c r="X39" s="28"/>
      <c r="Y39" s="27"/>
      <c r="Z39" s="63">
        <f>O39+U39</f>
        <v>58314.43443667642</v>
      </c>
    </row>
    <row r="40" spans="1:26" ht="15.75">
      <c r="A40" s="94">
        <f t="shared" si="16"/>
        <v>2</v>
      </c>
      <c r="B40" s="109" t="s">
        <v>39</v>
      </c>
      <c r="C40" s="110">
        <f>ИБР!B65</f>
        <v>8654</v>
      </c>
      <c r="D40" s="111">
        <f>ИБР!AK65</f>
        <v>0.9181675126172297</v>
      </c>
      <c r="E40" s="111">
        <f>ИНП!H64</f>
        <v>0.6776376331250845</v>
      </c>
      <c r="F40" s="111">
        <f t="shared" si="17"/>
        <v>0.7380326833754807</v>
      </c>
      <c r="G40" s="112">
        <f>F40*(ИНП!$G$69)</f>
        <v>3.130085355853222</v>
      </c>
      <c r="H40" s="113">
        <f>2*ИНП!$I$69</f>
        <v>8.482240492487142</v>
      </c>
      <c r="I40" s="110">
        <f>IF((G40-H40)&lt;0,0,'Параметры модели'!$F$29*(G40-H40)*C40*D40)</f>
        <v>0</v>
      </c>
      <c r="J40" s="111">
        <f>F40-I40/(D40*C40*ИНП!$G$69)</f>
        <v>0.7380326833754807</v>
      </c>
      <c r="K40" s="112">
        <f aca="true" t="shared" si="22" ref="K40:K45">G40-I40/(C40*D40)</f>
        <v>3.130085355853222</v>
      </c>
      <c r="L40" s="111"/>
      <c r="M40" s="111"/>
      <c r="N40" s="114">
        <f t="shared" si="18"/>
        <v>1</v>
      </c>
      <c r="O40" s="62">
        <f>O45*(ИБР!B65/ИБР!B70)</f>
        <v>13776.441780405816</v>
      </c>
      <c r="P40" s="111">
        <f>F40+O40/(C40*D40*ИНП!$G$69)</f>
        <v>1.1468390608400476</v>
      </c>
      <c r="Q40" s="112">
        <f t="shared" si="19"/>
        <v>4.863882360111688</v>
      </c>
      <c r="R40" s="123"/>
      <c r="S40" s="127">
        <f>IF(ИНП!$G$69*('Параметры модели'!$F$44-F40)*C40*D40+I40&lt;0,0,ИНП!$G$69*('Параметры модели'!$F$44-F40)*C40*D40+I40)</f>
        <v>62290.90456171919</v>
      </c>
      <c r="T40" s="114"/>
      <c r="U40" s="60">
        <f t="shared" si="20"/>
        <v>62290.90456171922</v>
      </c>
      <c r="V40" s="111">
        <f>F40+(O40+U40)/(C40*D40*ИНП!$G$69)</f>
        <v>2.995278552602439</v>
      </c>
      <c r="W40" s="112">
        <f t="shared" si="21"/>
        <v>12.703336512581341</v>
      </c>
      <c r="X40" s="28"/>
      <c r="Y40" s="27"/>
      <c r="Z40" s="63">
        <f aca="true" t="shared" si="23" ref="Z40:Z45">O40+U40</f>
        <v>76067.34634212503</v>
      </c>
    </row>
    <row r="41" spans="1:26" ht="15.75">
      <c r="A41" s="94">
        <f t="shared" si="16"/>
        <v>1</v>
      </c>
      <c r="B41" s="109" t="s">
        <v>40</v>
      </c>
      <c r="C41" s="110">
        <f>ИБР!B66</f>
        <v>3618</v>
      </c>
      <c r="D41" s="111">
        <f>ИБР!AK66</f>
        <v>1.0991749072869452</v>
      </c>
      <c r="E41" s="111">
        <f>ИНП!H65</f>
        <v>0.5560931014704689</v>
      </c>
      <c r="F41" s="111">
        <f t="shared" si="17"/>
        <v>0.5059186647947176</v>
      </c>
      <c r="G41" s="112">
        <f>F41*(ИНП!$G$69)</f>
        <v>2.145661892213391</v>
      </c>
      <c r="H41" s="113">
        <f>2*ИНП!$I$69</f>
        <v>8.482240492487142</v>
      </c>
      <c r="I41" s="110">
        <f>IF((G41-H41)&lt;0,0,'Параметры модели'!$F$29*(G41-H41)*C41*D41)</f>
        <v>0</v>
      </c>
      <c r="J41" s="111">
        <f>F41-I41/(D41*C41*ИНП!$G$69)</f>
        <v>0.5059186647947176</v>
      </c>
      <c r="K41" s="112">
        <f t="shared" si="22"/>
        <v>2.145661892213391</v>
      </c>
      <c r="L41" s="111"/>
      <c r="M41" s="111"/>
      <c r="N41" s="114">
        <f t="shared" si="18"/>
        <v>1</v>
      </c>
      <c r="O41" s="62">
        <f>O45*(ИБР!B66/ИБР!B70)</f>
        <v>5759.552387509619</v>
      </c>
      <c r="P41" s="111">
        <f>F41+O41/(C41*D41*ИНП!$G$69)</f>
        <v>0.8474045668566302</v>
      </c>
      <c r="Q41" s="112">
        <f t="shared" si="19"/>
        <v>3.5939446652549183</v>
      </c>
      <c r="R41" s="123"/>
      <c r="S41" s="127">
        <f>IF(ИНП!$G$69*('Параметры модели'!$F$44-F41)*C41*D41+I41&lt;0,0,ИНП!$G$69*('Параметры модели'!$F$44-F41)*C41*D41+I41)</f>
        <v>35090.92722564534</v>
      </c>
      <c r="T41" s="114"/>
      <c r="U41" s="60">
        <f t="shared" si="20"/>
        <v>35090.927225645355</v>
      </c>
      <c r="V41" s="111">
        <f>F41+(O41+U41)/(C41*D41*ИНП!$G$69)</f>
        <v>2.9279580771997846</v>
      </c>
      <c r="W41" s="112">
        <f t="shared" si="21"/>
        <v>12.417822281364403</v>
      </c>
      <c r="X41" s="28"/>
      <c r="Y41" s="27"/>
      <c r="Z41" s="63">
        <f t="shared" si="23"/>
        <v>40850.479613154974</v>
      </c>
    </row>
    <row r="42" spans="1:26" ht="15.75">
      <c r="A42" s="94">
        <f t="shared" si="16"/>
        <v>6</v>
      </c>
      <c r="B42" s="109" t="s">
        <v>41</v>
      </c>
      <c r="C42" s="110">
        <f>ИБР!B67</f>
        <v>1413</v>
      </c>
      <c r="D42" s="111">
        <f>ИБР!AK67</f>
        <v>1.173573358952853</v>
      </c>
      <c r="E42" s="111">
        <f>ИНП!H66</f>
        <v>2.453216891582619</v>
      </c>
      <c r="F42" s="111">
        <f t="shared" si="17"/>
        <v>2.09038222695474</v>
      </c>
      <c r="G42" s="112">
        <f>F42*(ИНП!$G$69)</f>
        <v>8.86556238512547</v>
      </c>
      <c r="H42" s="113">
        <f>2*ИНП!$I$69</f>
        <v>8.482240492487142</v>
      </c>
      <c r="I42" s="110">
        <f>IF((G42-H42)&lt;0,0,'Параметры модели'!$F$29*(G42-H42)*C42*D42)</f>
        <v>0</v>
      </c>
      <c r="J42" s="111">
        <f>F42-I42/(D42*C42*ИНП!$G$69)</f>
        <v>2.09038222695474</v>
      </c>
      <c r="K42" s="112">
        <f t="shared" si="22"/>
        <v>8.86556238512547</v>
      </c>
      <c r="L42" s="111"/>
      <c r="M42" s="111"/>
      <c r="N42" s="114">
        <f t="shared" si="18"/>
        <v>1</v>
      </c>
      <c r="O42" s="62">
        <f>O45*(ИБР!B67/ИБР!B70)</f>
        <v>2249.377424972662</v>
      </c>
      <c r="P42" s="111">
        <f>F42+O42/(C42*D42*ИНП!$G$69)</f>
        <v>2.410219697595364</v>
      </c>
      <c r="Q42" s="112">
        <f t="shared" si="19"/>
        <v>10.222031557366755</v>
      </c>
      <c r="R42" s="123"/>
      <c r="S42" s="127">
        <f>IF(ИНП!$G$69*('Параметры модели'!$F$44-F42)*C42*D42+I42&lt;0,0,ИНП!$G$69*('Параметры модели'!$F$44-F42)*C42*D42+I42)</f>
        <v>3488.939328978229</v>
      </c>
      <c r="T42" s="114"/>
      <c r="U42" s="60">
        <f t="shared" si="20"/>
        <v>3488.93932897823</v>
      </c>
      <c r="V42" s="111">
        <f>F42+(O42+U42)/(C42*D42*ИНП!$G$69)</f>
        <v>2.9063096457784954</v>
      </c>
      <c r="W42" s="112">
        <f t="shared" si="21"/>
        <v>12.326008680564158</v>
      </c>
      <c r="X42" s="28"/>
      <c r="Y42" s="27"/>
      <c r="Z42" s="63">
        <f t="shared" si="23"/>
        <v>5738.316753950892</v>
      </c>
    </row>
    <row r="43" spans="1:26" ht="16.5" thickBot="1">
      <c r="A43" s="94">
        <f t="shared" si="16"/>
        <v>3</v>
      </c>
      <c r="B43" s="115" t="s">
        <v>42</v>
      </c>
      <c r="C43" s="110">
        <f>ИБР!B68</f>
        <v>1820</v>
      </c>
      <c r="D43" s="111">
        <f>ИБР!AK68</f>
        <v>1.1410410454525328</v>
      </c>
      <c r="E43" s="111">
        <f>ИНП!H67</f>
        <v>1.282096983065637</v>
      </c>
      <c r="F43" s="116">
        <f t="shared" si="17"/>
        <v>1.1236203887452287</v>
      </c>
      <c r="G43" s="112">
        <f>F43*(ИНП!$G$69)</f>
        <v>4.7654091797994615</v>
      </c>
      <c r="H43" s="113">
        <f>2*ИНП!$I$69</f>
        <v>8.482240492487142</v>
      </c>
      <c r="I43" s="110">
        <f>IF((G43-H43)&lt;0,0,'Параметры модели'!$F$29*(G43-H43)*C43*D43)</f>
        <v>0</v>
      </c>
      <c r="J43" s="111">
        <f>F43-I43/(D43*C43*ИНП!$G$69)</f>
        <v>1.1236203887452287</v>
      </c>
      <c r="K43" s="117">
        <f t="shared" si="22"/>
        <v>4.7654091797994615</v>
      </c>
      <c r="L43" s="116"/>
      <c r="M43" s="116"/>
      <c r="N43" s="118">
        <f t="shared" si="18"/>
        <v>1</v>
      </c>
      <c r="O43" s="62">
        <f>O45*(ИБР!B68/ИБР!B70)</f>
        <v>2897.287270665425</v>
      </c>
      <c r="P43" s="111">
        <f>F43+O43/(C43*D43*ИНП!$G$69)</f>
        <v>1.4525767713702185</v>
      </c>
      <c r="Q43" s="117">
        <f t="shared" si="19"/>
        <v>6.160552754281353</v>
      </c>
      <c r="R43" s="124"/>
      <c r="S43" s="127">
        <f>IF(ИНП!$G$69*('Параметры модели'!$F$44-F43)*C43*D43+I43&lt;0,0,ИНП!$G$69*('Параметры модели'!$F$44-F43)*C43*D43+I43)</f>
        <v>12884.084588251455</v>
      </c>
      <c r="T43" s="118"/>
      <c r="U43" s="60">
        <f t="shared" si="20"/>
        <v>12884.08458825146</v>
      </c>
      <c r="V43" s="111">
        <f>F43+(O43+U43)/(C43*D43*ИНП!$G$69)</f>
        <v>2.9154285577628616</v>
      </c>
      <c r="W43" s="117">
        <f t="shared" si="21"/>
        <v>12.364683082804767</v>
      </c>
      <c r="X43" s="29"/>
      <c r="Y43" s="30"/>
      <c r="Z43" s="63">
        <f t="shared" si="23"/>
        <v>15781.371858916886</v>
      </c>
    </row>
    <row r="44" spans="1:26" ht="15.75">
      <c r="A44" s="94">
        <f t="shared" si="16"/>
        <v>5</v>
      </c>
      <c r="B44" s="119" t="s">
        <v>43</v>
      </c>
      <c r="C44" s="110">
        <f>ИБР!B69</f>
        <v>1264</v>
      </c>
      <c r="D44" s="111">
        <f>ИБР!AK69</f>
        <v>1.187160326987489</v>
      </c>
      <c r="E44" s="111">
        <f>ИНП!H68</f>
        <v>1.825724487643518</v>
      </c>
      <c r="F44" s="120">
        <f t="shared" si="17"/>
        <v>1.5378920994407173</v>
      </c>
      <c r="G44" s="112">
        <f>F44*(ИНП!$G$69)</f>
        <v>6.522385319476057</v>
      </c>
      <c r="H44" s="113">
        <f>2*ИНП!$I$69</f>
        <v>8.482240492487142</v>
      </c>
      <c r="I44" s="110">
        <f>IF((G44-H44)&lt;0,0,'Параметры модели'!$F$29*(G44-H44)*C44*D44)</f>
        <v>0</v>
      </c>
      <c r="J44" s="111">
        <f>F44-I44/(D44*C44*ИНП!$G$69)</f>
        <v>1.5378920994407173</v>
      </c>
      <c r="K44" s="121">
        <f t="shared" si="22"/>
        <v>6.522385319476057</v>
      </c>
      <c r="L44" s="120"/>
      <c r="M44" s="120"/>
      <c r="N44" s="122">
        <f t="shared" si="18"/>
        <v>1</v>
      </c>
      <c r="O44" s="62">
        <f>O45*(ИБР!B69/ИБР!B70)</f>
        <v>2012.1819286379653</v>
      </c>
      <c r="P44" s="111">
        <f>F44+O44/(C44*D44*ИНП!$G$69)</f>
        <v>1.8540690522969403</v>
      </c>
      <c r="Q44" s="121">
        <f t="shared" si="19"/>
        <v>7.863329795630184</v>
      </c>
      <c r="R44" s="125"/>
      <c r="S44" s="127">
        <f>IF(ИНП!$G$69*('Параметры модели'!$F$44-F44)*C44*D44+I44&lt;0,0,ИНП!$G$69*('Параметры модели'!$F$44-F44)*C44*D44+I44)</f>
        <v>6673.2690665378905</v>
      </c>
      <c r="T44" s="122"/>
      <c r="U44" s="60">
        <f t="shared" si="20"/>
        <v>6673.269066537893</v>
      </c>
      <c r="V44" s="111">
        <f>F44+(O44+U44)/(C44*D44*ИНП!$G$69)</f>
        <v>2.9026491279940947</v>
      </c>
      <c r="W44" s="121">
        <f t="shared" si="21"/>
        <v>12.310483984477003</v>
      </c>
      <c r="X44" s="31"/>
      <c r="Y44" s="32"/>
      <c r="Z44" s="63">
        <f t="shared" si="23"/>
        <v>8685.45099517586</v>
      </c>
    </row>
    <row r="45" spans="1:26" ht="16.5" thickBot="1">
      <c r="A45" s="25"/>
      <c r="B45" s="26" t="s">
        <v>57</v>
      </c>
      <c r="C45" s="47">
        <f>ИБР!B70</f>
        <v>24691</v>
      </c>
      <c r="D45" s="38">
        <f>ИБР!AK70</f>
        <v>0.9999999999999999</v>
      </c>
      <c r="E45" s="38">
        <f>ИНП!H69</f>
        <v>1</v>
      </c>
      <c r="F45" s="39">
        <f t="shared" si="17"/>
        <v>1</v>
      </c>
      <c r="G45" s="40">
        <f>F45*(ИНП!$G$69)</f>
        <v>4.241120246243571</v>
      </c>
      <c r="H45" s="41">
        <f>2*ИНП!$I$69</f>
        <v>8.482240492487142</v>
      </c>
      <c r="I45" s="37">
        <f>SUM(I39:I44)</f>
        <v>0</v>
      </c>
      <c r="J45" s="39">
        <f>F45-I45/(D45*C45*ИНП!$G$69)</f>
        <v>1</v>
      </c>
      <c r="K45" s="40">
        <f t="shared" si="22"/>
        <v>4.241120246243571</v>
      </c>
      <c r="L45" s="61">
        <f>'Параметры модели'!$F$28+$I$45</f>
        <v>205437.40000000002</v>
      </c>
      <c r="M45" s="61">
        <f>'Параметры модели'!$F$41</f>
        <v>39306</v>
      </c>
      <c r="N45" s="36"/>
      <c r="O45" s="61">
        <f>'Параметры модели'!$F$41</f>
        <v>39306</v>
      </c>
      <c r="P45" s="33"/>
      <c r="Q45" s="34"/>
      <c r="R45" s="42">
        <f>'Параметры модели'!$F$42</f>
        <v>166131.40000000002</v>
      </c>
      <c r="S45" s="61">
        <f>SUM(S39:S44)</f>
        <v>166131.39999999997</v>
      </c>
      <c r="T45" s="71">
        <f>$R$45/$S$45</f>
        <v>1.0000000000000004</v>
      </c>
      <c r="U45" s="61">
        <f>SUM(U39:U44)</f>
        <v>166131.40000000005</v>
      </c>
      <c r="V45" s="33"/>
      <c r="W45" s="34"/>
      <c r="X45" s="35"/>
      <c r="Y45" s="33"/>
      <c r="Z45" s="64">
        <f t="shared" si="23"/>
        <v>205437.40000000005</v>
      </c>
    </row>
  </sheetData>
  <sheetProtection/>
  <mergeCells count="78">
    <mergeCell ref="A6:A8"/>
    <mergeCell ref="B6:B8"/>
    <mergeCell ref="C6:C8"/>
    <mergeCell ref="D6:D8"/>
    <mergeCell ref="I6:I8"/>
    <mergeCell ref="J6:J8"/>
    <mergeCell ref="K6:K8"/>
    <mergeCell ref="L6:L8"/>
    <mergeCell ref="E6:E8"/>
    <mergeCell ref="F6:F8"/>
    <mergeCell ref="G6:G8"/>
    <mergeCell ref="H6:H8"/>
    <mergeCell ref="Q6:Q8"/>
    <mergeCell ref="R6:R8"/>
    <mergeCell ref="S6:S8"/>
    <mergeCell ref="T6:T8"/>
    <mergeCell ref="M6:M8"/>
    <mergeCell ref="N6:N8"/>
    <mergeCell ref="O6:O8"/>
    <mergeCell ref="P6:P8"/>
    <mergeCell ref="Z6:Z8"/>
    <mergeCell ref="U6:U8"/>
    <mergeCell ref="V6:V8"/>
    <mergeCell ref="W6:W8"/>
    <mergeCell ref="X6:X8"/>
    <mergeCell ref="Y6:Y8"/>
    <mergeCell ref="E21:E23"/>
    <mergeCell ref="F21:F23"/>
    <mergeCell ref="G21:G23"/>
    <mergeCell ref="H21:H23"/>
    <mergeCell ref="A21:A23"/>
    <mergeCell ref="B21:B23"/>
    <mergeCell ref="C21:C23"/>
    <mergeCell ref="D21:D23"/>
    <mergeCell ref="M21:M23"/>
    <mergeCell ref="N21:N23"/>
    <mergeCell ref="O21:O23"/>
    <mergeCell ref="P21:P23"/>
    <mergeCell ref="I21:I23"/>
    <mergeCell ref="J21:J23"/>
    <mergeCell ref="K21:K23"/>
    <mergeCell ref="L21:L23"/>
    <mergeCell ref="A36:A38"/>
    <mergeCell ref="B36:B38"/>
    <mergeCell ref="C36:C38"/>
    <mergeCell ref="D36:D38"/>
    <mergeCell ref="U21:U23"/>
    <mergeCell ref="V21:V23"/>
    <mergeCell ref="Q21:Q23"/>
    <mergeCell ref="R21:R23"/>
    <mergeCell ref="S21:S23"/>
    <mergeCell ref="T21:T23"/>
    <mergeCell ref="I36:I38"/>
    <mergeCell ref="J36:J38"/>
    <mergeCell ref="K36:K38"/>
    <mergeCell ref="L36:L38"/>
    <mergeCell ref="E36:E38"/>
    <mergeCell ref="F36:F38"/>
    <mergeCell ref="G36:G38"/>
    <mergeCell ref="H36:H38"/>
    <mergeCell ref="Q36:Q38"/>
    <mergeCell ref="R36:R38"/>
    <mergeCell ref="S36:S38"/>
    <mergeCell ref="T36:T38"/>
    <mergeCell ref="M36:M38"/>
    <mergeCell ref="N36:N38"/>
    <mergeCell ref="O36:O38"/>
    <mergeCell ref="P36:P38"/>
    <mergeCell ref="Y36:Y38"/>
    <mergeCell ref="Z36:Z38"/>
    <mergeCell ref="Y21:Y23"/>
    <mergeCell ref="Z21:Z23"/>
    <mergeCell ref="U36:U38"/>
    <mergeCell ref="V36:V38"/>
    <mergeCell ref="W36:W38"/>
    <mergeCell ref="X36:X38"/>
    <mergeCell ref="W21:W23"/>
    <mergeCell ref="X21:X23"/>
  </mergeCells>
  <printOptions/>
  <pageMargins left="0.07874015748031496" right="0" top="0.3937007874015748" bottom="0.1968503937007874" header="0.11811023622047245" footer="0.31496062992125984"/>
  <pageSetup fitToWidth="2" fitToHeight="1" horizontalDpi="600" verticalDpi="600" orientation="landscape" paperSize="9" scale="60" r:id="rId1"/>
  <headerFooter alignWithMargins="0">
    <oddHeader>&amp;L&amp;D&amp;T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1</cp:lastModifiedBy>
  <cp:lastPrinted>2013-09-12T11:47:49Z</cp:lastPrinted>
  <dcterms:created xsi:type="dcterms:W3CDTF">2004-06-18T05:29:07Z</dcterms:created>
  <dcterms:modified xsi:type="dcterms:W3CDTF">2013-11-11T05:22:41Z</dcterms:modified>
  <cp:category/>
  <cp:version/>
  <cp:contentType/>
  <cp:contentStatus/>
</cp:coreProperties>
</file>