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0" yWindow="180" windowWidth="14805" windowHeight="8985"/>
  </bookViews>
  <sheets>
    <sheet name="2021" sheetId="5" r:id="rId1"/>
  </sheets>
  <definedNames>
    <definedName name="_xlnm.Print_Titles" localSheetId="0">'2021'!$5:$6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5" l="1"/>
  <c r="E33" i="5"/>
  <c r="E31" i="5"/>
  <c r="I22" i="5"/>
  <c r="D22" i="5"/>
  <c r="J22" i="5"/>
  <c r="E22" i="5"/>
  <c r="J18" i="5"/>
  <c r="E18" i="5"/>
  <c r="E13" i="5"/>
  <c r="J13" i="5"/>
  <c r="J11" i="5"/>
  <c r="E11" i="5"/>
  <c r="D10" i="5"/>
  <c r="E10" i="5"/>
  <c r="J9" i="5"/>
  <c r="I9" i="5"/>
  <c r="D9" i="5"/>
  <c r="E9" i="5"/>
  <c r="J19" i="5" l="1"/>
  <c r="G13" i="5"/>
  <c r="G18" i="5"/>
  <c r="K18" i="5" s="1"/>
  <c r="L18" i="5" s="1"/>
  <c r="E19" i="5"/>
  <c r="C19" i="5"/>
  <c r="C18" i="5"/>
  <c r="G19" i="5" l="1"/>
  <c r="G36" i="5"/>
  <c r="G37" i="5" l="1"/>
  <c r="G39" i="5"/>
  <c r="G31" i="5"/>
  <c r="K31" i="5" s="1"/>
  <c r="K13" i="5"/>
  <c r="G11" i="5"/>
  <c r="K11" i="5" s="1"/>
  <c r="G23" i="5"/>
  <c r="K23" i="5" s="1"/>
  <c r="L23" i="5" s="1"/>
  <c r="L19" i="5" l="1"/>
  <c r="K19" i="5"/>
  <c r="I19" i="5"/>
  <c r="H19" i="5"/>
  <c r="F19" i="5"/>
  <c r="D19" i="5"/>
  <c r="G33" i="5"/>
  <c r="K33" i="5" s="1"/>
  <c r="G32" i="5"/>
  <c r="K32" i="5" s="1"/>
  <c r="C32" i="5"/>
  <c r="G12" i="5" l="1"/>
  <c r="K12" i="5" s="1"/>
  <c r="K37" i="5" l="1"/>
  <c r="J37" i="5"/>
  <c r="C33" i="5"/>
  <c r="D37" i="5" l="1"/>
  <c r="L33" i="5"/>
  <c r="L32" i="5"/>
  <c r="C31" i="5"/>
  <c r="L31" i="5" s="1"/>
  <c r="C12" i="5"/>
  <c r="L12" i="5" s="1"/>
  <c r="C11" i="5"/>
  <c r="L11" i="5" s="1"/>
  <c r="C14" i="5"/>
  <c r="C13" i="5"/>
  <c r="L13" i="5" s="1"/>
  <c r="C10" i="5"/>
  <c r="L34" i="5" l="1"/>
  <c r="G15" i="5"/>
  <c r="G9" i="5"/>
  <c r="K9" i="5" s="1"/>
  <c r="C9" i="5"/>
  <c r="L9" i="5" l="1"/>
  <c r="L15" i="5" s="1"/>
  <c r="K15" i="5"/>
  <c r="G22" i="5"/>
  <c r="K22" i="5" s="1"/>
  <c r="G27" i="5" l="1"/>
  <c r="K27" i="5" s="1"/>
  <c r="L27" i="5" s="1"/>
  <c r="L28" i="5" s="1"/>
  <c r="J15" i="5" l="1"/>
  <c r="I15" i="5"/>
  <c r="H15" i="5"/>
  <c r="F15" i="5"/>
  <c r="D15" i="5"/>
  <c r="E15" i="5"/>
  <c r="C36" i="5" l="1"/>
  <c r="E37" i="5"/>
  <c r="C27" i="5"/>
  <c r="C23" i="5"/>
  <c r="C22" i="5"/>
  <c r="L22" i="5" s="1"/>
  <c r="L24" i="5" s="1"/>
  <c r="C37" i="5" l="1"/>
  <c r="L36" i="5"/>
  <c r="L37" i="5" s="1"/>
  <c r="C15" i="5"/>
  <c r="J34" i="5" l="1"/>
  <c r="I34" i="5"/>
  <c r="H34" i="5"/>
  <c r="F34" i="5"/>
  <c r="D34" i="5"/>
  <c r="G34" i="5"/>
  <c r="E34" i="5" l="1"/>
  <c r="C34" i="5"/>
  <c r="K24" i="5"/>
  <c r="J24" i="5"/>
  <c r="I24" i="5"/>
  <c r="H24" i="5"/>
  <c r="G24" i="5"/>
  <c r="F24" i="5"/>
  <c r="E24" i="5"/>
  <c r="D24" i="5"/>
  <c r="C24" i="5"/>
  <c r="K34" i="5" l="1"/>
  <c r="D28" i="5" l="1"/>
  <c r="D38" i="5" s="1"/>
  <c r="E28" i="5"/>
  <c r="E38" i="5" s="1"/>
  <c r="F28" i="5"/>
  <c r="H28" i="5"/>
  <c r="H38" i="5" s="1"/>
  <c r="I28" i="5"/>
  <c r="I38" i="5" s="1"/>
  <c r="J28" i="5"/>
  <c r="K28" i="5"/>
  <c r="G28" i="5"/>
  <c r="G38" i="5" s="1"/>
  <c r="C28" i="5"/>
  <c r="C38" i="5" s="1"/>
  <c r="J38" i="5" l="1"/>
  <c r="J40" i="5" s="1"/>
  <c r="I40" i="5"/>
  <c r="E40" i="5"/>
  <c r="K38" i="5" l="1"/>
  <c r="L38" i="5" s="1"/>
</calcChain>
</file>

<file path=xl/sharedStrings.xml><?xml version="1.0" encoding="utf-8"?>
<sst xmlns="http://schemas.openxmlformats.org/spreadsheetml/2006/main" count="84" uniqueCount="79">
  <si>
    <t>Отчет о ходе строительства и приобретения объектов</t>
  </si>
  <si>
    <t>включенных в перечень строек и объектов на текущий год и плановый период</t>
  </si>
  <si>
    <t>Наименование объекта</t>
  </si>
  <si>
    <t xml:space="preserve">Капитальные вложения на текущий год
(тыс.руб.)
</t>
  </si>
  <si>
    <t>Остаток межбюджетных трансфертов прошлых лет, подлежащие передаче в бюджет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</si>
  <si>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</si>
  <si>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</si>
  <si>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</si>
  <si>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ВСЕГО</t>
  </si>
  <si>
    <t>из бюджета автономного округа</t>
  </si>
  <si>
    <t>из бюджета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</si>
  <si>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</si>
  <si>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</si>
  <si>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</si>
  <si>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1.</t>
  </si>
  <si>
    <t>1.1.</t>
  </si>
  <si>
    <t>Образовательно-культурный комплекс в д. Хулимсунт, Березовского района</t>
  </si>
  <si>
    <t>1.2.</t>
  </si>
  <si>
    <t>Средняя общеобразовательная школа в п. Приполярный Березовского района</t>
  </si>
  <si>
    <t>1.4.</t>
  </si>
  <si>
    <t>Реконструкция здания поселковой больницы под детский сад на 40 мест в с. Няксимволь Березовского района</t>
  </si>
  <si>
    <t>1.5.</t>
  </si>
  <si>
    <t>Итого по программе:</t>
  </si>
  <si>
    <t>2.</t>
  </si>
  <si>
    <t>3.</t>
  </si>
  <si>
    <t>3.1.</t>
  </si>
  <si>
    <t>4.</t>
  </si>
  <si>
    <t>Подпрограмма "Содействие развитию жилищного строительства"</t>
  </si>
  <si>
    <t>4.1.</t>
  </si>
  <si>
    <t xml:space="preserve">Приобретение жилых помещений </t>
  </si>
  <si>
    <t>5.</t>
  </si>
  <si>
    <t>Подпрограмма "Преодоление социальной исключенности"</t>
  </si>
  <si>
    <t>5.1.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</si>
  <si>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</si>
  <si>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ВСЕГО:</t>
  </si>
  <si>
    <t>Образовательно-культурный комплекс в п. Теги</t>
  </si>
  <si>
    <t>Итого:</t>
  </si>
  <si>
    <t>Муниципальная программа "Развитие образования в Березовском районе"</t>
  </si>
  <si>
    <t>Муниципальная программа "Социальная поддержка жителей Березовского района"</t>
  </si>
  <si>
    <t>1.3.</t>
  </si>
  <si>
    <t>Муниципальная программа "Современная транспортаня система Березовского района"</t>
  </si>
  <si>
    <t>Муниципальная программа "Развитие жилищной сферы в Березовском районе»</t>
  </si>
  <si>
    <t>Региональный проект "Обеспечение устойчивого сокращения непригодного для проживания жилищного фонда"</t>
  </si>
  <si>
    <t>5.2.</t>
  </si>
  <si>
    <t>Средняя школа в пгт. Березово</t>
  </si>
  <si>
    <t>Муниципальная программа "Жилищно-коммунальный комплекс в Березовском районе"</t>
  </si>
  <si>
    <t>Реконструкция и расширение канализационных очистных сооружений до 2000 м3/сут. в пгт. Березово</t>
  </si>
  <si>
    <t>Реконструкция котельной на 6 МВт пгт. Березово, ул. Аэропорт, 6а</t>
  </si>
  <si>
    <t>Строительство блочно-модульной котельной тепловой мощностью 18 МВт с заменой участка тепловой сети в пгт. Игрим</t>
  </si>
  <si>
    <t>Подпрограмма "Обеспечение равных прав потребителей на получение коммунальных ресурсов"</t>
  </si>
  <si>
    <t>Муниципальная программа "Управление муниципальным имуществом в Березовском районе"</t>
  </si>
  <si>
    <t>Капитальные вложения в объекты государственной (муниципальной) собственности</t>
  </si>
  <si>
    <t>3.2.</t>
  </si>
  <si>
    <t>5.3.</t>
  </si>
  <si>
    <t>6.</t>
  </si>
  <si>
    <t>6.1.</t>
  </si>
  <si>
    <t>1.6.</t>
  </si>
  <si>
    <t>Детский сад в пгт. Игрим</t>
  </si>
  <si>
    <t>2.2.</t>
  </si>
  <si>
    <t>Реконструкция автодороги по ул. Чкалова с заменой участка газопровода низкого давления в пгт. Березово</t>
  </si>
  <si>
    <t>Профинансировано МО в 2021 году  (кассовые расходы) за счёт:</t>
  </si>
  <si>
    <t>Заключен МК № 60/19 от 16.12.19 на выполнение корректировки ПСД с ООО ПГ "Урал" цена МК-2 986 118,00 руб., срок исполнения 02.11.2020 года. Получено положительное заключение  гос.экспертизы, содержащее оценку достоверности определения сметной стоимости строительства № 86-1-1-2-067830-2021 от 18.11.2021 год, готовится документация для проведения аукциона на строительство объекта. Сроки строительства объекта определены 2022-2023 годы</t>
  </si>
  <si>
    <t>Заключен МК № 36/19 от 05.08.19 на выполнение проектно-изыскательских работ, Подрядчик-ООО СЗ "Дивес Девелопмент" цена МК - 5 347,86 тыс. руб. срок выполнение по МК-31.03.2020 г.   02.08.2021 г. получено отрицательное заключение государственной экспертизы № 86-1-2-3-042035-2021. 27 октября 2021 года Подрядчик направил повторно проектную документацию на прохождение государственной экспертизы. 
С Подрядчиком  ООО «СЗ «Дивес Девелопмент» ведется претензионная работа за нарушение сроков выполнения работ.</t>
  </si>
  <si>
    <t>Объект введен в эксплуатацию 
Разрешение на ввод в эксплуатацию от 17.12.2021 г.№ 86-ru86501000-5-2021</t>
  </si>
  <si>
    <t>22.05.20 г. объявлен конкурс № 0187300012420000088 на выполнение ПИР, заключен МК № 30/20от 13.07.2020г. ООО ЭКОЛОГИЧЕСКОЕ ПРЕДПРИЯТИЕ "ОЧИСТНЫЕ СООРУЖЕНИЯ"; срок выполнения работ по МК - 25.10.2020 г.;цена контракта 6235,0 тыс.руб. Получено положительное заключение государственной экспертизы № 86-1-1-3-073540-2021 от 03.12.2021, 28.12.21сметная документация передана на прохождение достоверности определения сметной стоимости.
Сроки строительства определены 2022-2024 годы.</t>
  </si>
  <si>
    <t>ПСД-100%. Получено положительное заключение  гос.экспертизы,
содержащее оценку достоверности определения сметной стоимости строительства № 86-1-1-3-053510-2021 от 20.09.2021 года. 15 декабря состоялся аукцион, заключен МК № 54/21 от 27 декабря 2021 года, Подрядная организация ООО «СЗ ДИВЕС ДЕВЕЛОПМЕНТ», цена контракта 67 735 288,15 руб. срок выполнения работ 03 ноября 2022 года.</t>
  </si>
  <si>
    <t xml:space="preserve">ПСД-100 %, получено положительное заключение  государственной экспертизы, содержащее оценку достоверности определения сметной стоимости строительства № 86-1-1-3-055983-2021 от 29.09.2021 года. 25 ноября 2021 года объявлен аукцион № 0187200001721001945 на выполнение работ по строительству объекта. Аукцион запланирован на 03 декабря 2021 года.  Аукцион признан не состоявшийся, так как на участие в закупке не подано ни одной заявки. 15 декабря 2021 года объявлен запрос предложений в электронной форме № 0187200001721002051, рассмотрение предложение запланировано на 27 декабря 2021 года. Заключение муниципального контракта - январь 2022 года. </t>
  </si>
  <si>
    <t xml:space="preserve">Проведен аукцион и заключен муниципальный контракт:
- № 27/21 от 01 июня 2021 года на выполнение проектно-изыскательских работ по объекту: «Реконструкция автодороги по ул. Чкалова с заменой участка газопровода низкого давления в  пгт. Березово», подрядная организация ООО «ЭКИЗПРО», цена контракта – 2 299,6 тыс. руб., срок выполнения работ по контракту - 01 августа 2021 года.
Работы по контракту не выполнены в срок, ведется претензионная работа за нарушение сроков, предусмотренных муниципальным контрактом.
08 декабря 2021 года подписано соглашение о расторжении муниципального контракта.
</t>
  </si>
  <si>
    <t>За 2021 год заключено 48 муниципальных контрактов на строительство 48 жилых помещений на территории пгт. Березово на общую сумму 213 271,2 тыс. руб., срок исполнения контрактов 4 кв. 2022 года; заключено 12 соглашений об изъятии недвижимости для муниципальных нужд и выплачено возмещения на общую сумму 16 075,0 тыс. руб. ; приобретено 4 квартиры в п.Сосьва  на общую сумму 13 280,0 тыс. руб.</t>
  </si>
  <si>
    <t>За 2021 год заключено 2 муниципальных контракта по приобретению 2 жилых помещений на общую сумм 5 402,6 тыс. руб. не полное освоение средств связано в несостоявшимися 6 аукционами по причине отсутствия заявок, рассмотрением исковых заявлений в судебном порядке, длительным оформлениемгражданами правоустанавливающих документов, выдворение собственника за пределы РФ, невозможность оформления наследства, нахождения в местах лишения свободы.</t>
  </si>
  <si>
    <t xml:space="preserve">В 2021 году проведено 47 электронных аукционов по приобретению жилых помещений в пгт. Игрим (26) и пгт. Березово (18), с. Саранпауль (3),  из которых:
- по 12 электронным аукционам заключены муниципальные контракты по приобретению жилых помещений в пгт. Игрим – 8, в пгт. Березово – 3, с.Саранпауль - 1 на общую сумму 17 703,2 тыс. руб. Оплата произведена в полном размере. Жилые помещения распределены и предоставлены лицам из числа детей –сирот и детей, оставшихся без попечения родителей. </t>
  </si>
  <si>
    <t>на 31.12.2021 года</t>
  </si>
  <si>
    <t>Выполнение мероприятий по переносу вертолетной площадк</t>
  </si>
  <si>
    <t>2.1.</t>
  </si>
  <si>
    <t xml:space="preserve">Заключен муниципальный контракт № 12 от 06.05.2020 г. </t>
  </si>
  <si>
    <t>Заключен муниципальный контракт № 0187300012420000182 от 11.09.2020 г., на выполнение мероприятий по переносу вертолетной площадки, подрядной организацией соблюдены условия контракта. Подрядной организацией соблюдены условия контракта. Исполнение контракта завершено.</t>
  </si>
  <si>
    <t>23.10.2020 года состоялся аукцион на проектирование и строительство объекта, Подрядная организация ООО ГК "Альянс", срок выполнения-февраль 2023 года, цена контракта 864 772,9 тыс. руб. , заключен МК № 57/20 от 17.11.2020 года, 20.07.2021 ПД передана Заказчику, 12.11.2021 г. заключен договор на проведение государственной экспертизы инженерных изысканий и проектной документации, срок проведения – 40 рабочих дней, дата выдачи заключения – 14.01.2022 г. На сегодняшний день ООО ГК «Альянс» выполнила подготовительные работы на площадке под строительство: вырубку зеленых насаждений, вывоз строительного мусора, ограждение стройплощадки. Получено положительное заключение государственной экспертизы проектной документации от 30.12.2021 г.</t>
  </si>
  <si>
    <t xml:space="preserve">Заключен МК № 12/20 от 23.03.2020 года на выполнение работ по завершению строительства объекта с ООО «Югра Регион Сервис»  срок выполнения работ по МК – 25.09. 2021 года. СМР на объекте завершаются, технологическое оборудование поставлено в полном объеме. Степень готовности объекта составляет 99,8 %.
С Подрядчиком  ООО «Югра Регион Сервис»  ведется претензионная работа за нарушение сроков выполнения работ.
В феврале 2022 года на объекте планируется итоговая проверка построенного объекта капитального строительства Службой жилищного и строительного надзора ХМАО-Югры. </t>
  </si>
  <si>
    <r>
      <t xml:space="preserve">26.05.20 г.  состоялся аукцион 0187200001720000424 на завершение строительства объекта, Заключен МК № 25/20 от 15.06.20 Подрядная организация-ООО ФСК ХАКИ, г. Москва, срок-25.12.20 г. цена МК 195 844,8 тыс. руб., заключено доп. соглашение № 2 от 26.12.20 г. о продлении срока строительства до 06.07.2021 г. Выполняются внутренние электромонтажные работы (устройство штроб, проходных отверстий, прокладка кабелей, монтаж и расключение щитов освещения, установка выключателей, розеток); монтаж и комплектация пожарных шкафов; прокладка внутренних сетей слаботочных систем. Судебное заседание по делу № А75-9564/2021 о внесении изменений в п.3.1. контракта № 25/20 от 15.06.2020 в части сроков окончания работ по строительству объекта состоялось 12.10.2021 года. Результат: генеральному подрядчику ООО ФСК «ХАКИ» отказано в продлении сроков строительства по контракту. 22.11. 2021 года Подрядчик подал апелляционную жалобу на решение суда. 30.12.2021 г. расторгнут договор с ООО "Финансово-строительная компания "ХАКИ" № 25/20 от 15.06.2020 г.                                                                            Заключены муниципальные контракты: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1) 3861300198521000053 - поставка стендов пожарных                                                                                                                                                                                                                                                                           2) 0187300012421000206 - поставка зеркал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0187300012421000203 - поставка потолочных карнизов                                                                                                                                                                                                                                                                    4) 0187300012421000240 - поставка школьных стендов, плакатов и демонстрационных таблиц                                                                                                                                                                                      5) 0187300012421000217 - поставка игрового оборудования                                                                                                                                                                                                                                                                   6) 0187300012421000218 - поставка приборов и устройств учеьных демонстрационных                                                                                                                                                                                                          7) 0187300012421000242 - поставка бытовых товаров (коврики резиновые, удлинители на катушке)                                                                                                                                                                                    8) 0187300012421000243 - поставка хозяйственных товаров                                                                                                                                                                                                                                                                  9) 0187300012421000270 - поставка хозяйственно-бытового инвентаря                                                                                                                                                                                                                                               10) 0187300012421000241 - поставка вешалок металлических                                                                                                                                                                                                                                                                11) 0187300012421000269 - поставка садового инвентаря                                                                                                                                                                                                                                                                   12) 0187300012421000264 - поставка табличек на двери кабинетов                                                                                                                                                                                                                                                    13) 0187300012421000274 - поставка оборудования (качалоке) для оснащения пришкольной территории                                                                                                                                                             14) 0187300012421000272 - поставка газонокосилки                                                                                                                                                                                                                                                                              15) 0187300012421000271 - поставка углошлифиовальной машины и электролобзика                                                                                                                                                                                                       16) 2021-10-01 - поставка товара (электроплитка, набор отверток, гвоздодер, компас, чертежный набор, часы настенные)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</si>
</sst>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_ ;\-#,##0.00\ 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sz val="9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6" fontId="1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/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4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165" fontId="12" fillId="2" borderId="0" xfId="0" applyNumberFormat="1" applyFont="1" applyFill="1"/>
    <xf numFmtId="165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Alignment="1">
      <alignment horizontal="right" vertical="center"/>
    </xf>
    <xf numFmtId="4" fontId="1" fillId="2" borderId="0" xfId="0" applyNumberFormat="1" applyFont="1" applyFill="1" applyAlignment="1">
      <alignment horizontal="right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165" fontId="20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14" fillId="2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7" fontId="13" fillId="2" borderId="8" xfId="0" applyNumberFormat="1" applyFont="1" applyFill="1" applyBorder="1" applyAlignment="1">
      <alignment vertical="center" wrapText="1"/>
    </xf>
    <xf numFmtId="167" fontId="14" fillId="2" borderId="1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Fill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 applyProtection="1">
      <alignment horizontal="left" vertical="center" wrapText="1" shrinkToFit="1"/>
    </xf>
    <xf numFmtId="165" fontId="15" fillId="0" borderId="1" xfId="0" applyNumberFormat="1" applyFont="1" applyFill="1" applyBorder="1" applyAlignment="1">
      <alignment horizontal="left" vertical="center" wrapText="1" shrinkToFit="1"/>
    </xf>
    <xf numFmtId="16" fontId="2" fillId="0" borderId="1" xfId="0" applyNumberFormat="1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vertical="center"/>
    </xf>
    <xf numFmtId="0" fontId="21" fillId="0" borderId="0" xfId="0" applyFont="1" applyFill="1"/>
    <xf numFmtId="49" fontId="4" fillId="0" borderId="1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Alignment="1">
      <alignment vertical="center"/>
    </xf>
    <xf numFmtId="165" fontId="13" fillId="0" borderId="7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165" fontId="13" fillId="0" borderId="5" xfId="0" applyNumberFormat="1" applyFont="1" applyFill="1" applyBorder="1" applyAlignment="1">
      <alignment horizontal="left" vertical="center" wrapText="1"/>
    </xf>
    <xf numFmtId="165" fontId="13" fillId="0" borderId="6" xfId="0" applyNumberFormat="1" applyFont="1" applyFill="1" applyBorder="1" applyAlignment="1">
      <alignment horizontal="left" vertical="center" wrapText="1"/>
    </xf>
    <xf numFmtId="165" fontId="13" fillId="0" borderId="7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13" fillId="0" borderId="5" xfId="0" applyNumberFormat="1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="80" zoomScaleNormal="80" workbookViewId="0">
      <selection activeCell="N9" sqref="N9"/>
    </sheetView>
  </sheetViews>
  <sheetFormatPr defaultColWidth="8.85546875" defaultRowHeight="15" x14ac:dyDescent="0.25"/>
  <cols>
    <col min="1" max="1" width="6.140625" style="1" customWidth="1"/>
    <col min="2" max="2" width="26.28515625" style="1" customWidth="1"/>
    <col min="3" max="3" width="12.42578125" style="2" customWidth="1"/>
    <col min="4" max="4" width="10.85546875" style="2" customWidth="1"/>
    <col min="5" max="5" width="9.85546875" style="2" customWidth="1"/>
    <col min="6" max="6" width="11.140625" style="9" customWidth="1"/>
    <col min="7" max="8" width="10.140625" style="1" customWidth="1"/>
    <col min="9" max="10" width="10.5703125" style="1" customWidth="1"/>
    <col min="11" max="11" width="13.140625" style="1" customWidth="1"/>
    <col min="12" max="12" width="11.42578125" style="1" customWidth="1"/>
    <col min="13" max="13" width="88.710937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 customHeight="1" x14ac:dyDescent="0.3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6.5" hidden="1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7.45" customHeight="1" x14ac:dyDescent="0.3">
      <c r="A4" s="116" t="s">
        <v>71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63.6" customHeight="1" x14ac:dyDescent="0.25">
      <c r="A5" s="123">
        <v>3</v>
      </c>
      <c r="B5" s="122" t="s">
        <v>2</v>
      </c>
      <c r="C5" s="122" t="s">
        <v>3</v>
      </c>
      <c r="D5" s="122"/>
      <c r="E5" s="122"/>
      <c r="F5" s="117" t="s">
        <v>4</v>
      </c>
      <c r="G5" s="119" t="s">
        <v>60</v>
      </c>
      <c r="H5" s="119"/>
      <c r="I5" s="119"/>
      <c r="J5" s="119"/>
      <c r="K5" s="120" t="s">
        <v>5</v>
      </c>
      <c r="L5" s="120" t="s">
        <v>6</v>
      </c>
      <c r="M5" s="117" t="s">
        <v>7</v>
      </c>
    </row>
    <row r="6" spans="1:13" ht="90.75" customHeight="1" x14ac:dyDescent="0.25">
      <c r="A6" s="123"/>
      <c r="B6" s="122"/>
      <c r="C6" s="32" t="s">
        <v>8</v>
      </c>
      <c r="D6" s="4" t="s">
        <v>9</v>
      </c>
      <c r="E6" s="4" t="s">
        <v>10</v>
      </c>
      <c r="F6" s="118"/>
      <c r="G6" s="32" t="s">
        <v>8</v>
      </c>
      <c r="H6" s="31" t="s">
        <v>11</v>
      </c>
      <c r="I6" s="31" t="s">
        <v>12</v>
      </c>
      <c r="J6" s="31" t="s">
        <v>13</v>
      </c>
      <c r="K6" s="121"/>
      <c r="L6" s="121"/>
      <c r="M6" s="118"/>
    </row>
    <row r="7" spans="1:13" ht="17.45" customHeight="1" x14ac:dyDescent="0.25">
      <c r="A7" s="26">
        <v>1</v>
      </c>
      <c r="B7" s="25">
        <v>2</v>
      </c>
      <c r="C7" s="26">
        <v>3</v>
      </c>
      <c r="D7" s="4">
        <v>4</v>
      </c>
      <c r="E7" s="4">
        <v>5</v>
      </c>
      <c r="F7" s="22">
        <v>6</v>
      </c>
      <c r="G7" s="26">
        <v>7</v>
      </c>
      <c r="H7" s="23">
        <v>8</v>
      </c>
      <c r="I7" s="23">
        <v>9</v>
      </c>
      <c r="J7" s="23">
        <v>10</v>
      </c>
      <c r="K7" s="24">
        <v>11</v>
      </c>
      <c r="L7" s="24">
        <v>12</v>
      </c>
      <c r="M7" s="22">
        <v>13</v>
      </c>
    </row>
    <row r="8" spans="1:13" s="6" customFormat="1" ht="15.75" customHeight="1" x14ac:dyDescent="0.25">
      <c r="A8" s="5" t="s">
        <v>14</v>
      </c>
      <c r="B8" s="106" t="s">
        <v>37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s="44" customFormat="1" ht="345" customHeight="1" x14ac:dyDescent="0.25">
      <c r="A9" s="20" t="s">
        <v>15</v>
      </c>
      <c r="B9" s="74" t="s">
        <v>16</v>
      </c>
      <c r="C9" s="94">
        <f t="shared" ref="C9" si="0">D9+E9</f>
        <v>50391.692000000003</v>
      </c>
      <c r="D9" s="95">
        <f>45000</f>
        <v>45000</v>
      </c>
      <c r="E9" s="33">
        <f>5391.692</f>
        <v>5391.692</v>
      </c>
      <c r="F9" s="33">
        <v>0</v>
      </c>
      <c r="G9" s="95">
        <f>I9+J9</f>
        <v>21644.260000000002</v>
      </c>
      <c r="H9" s="95">
        <v>0</v>
      </c>
      <c r="I9" s="95">
        <f>19362.327</f>
        <v>19362.327000000001</v>
      </c>
      <c r="J9" s="95">
        <f>2281.933</f>
        <v>2281.933</v>
      </c>
      <c r="K9" s="95">
        <f>G9</f>
        <v>21644.260000000002</v>
      </c>
      <c r="L9" s="95">
        <f>K9/(C9+F9)*100</f>
        <v>42.952040586372853</v>
      </c>
      <c r="M9" s="92" t="s">
        <v>78</v>
      </c>
    </row>
    <row r="10" spans="1:13" s="44" customFormat="1" ht="100.5" customHeight="1" x14ac:dyDescent="0.25">
      <c r="A10" s="20" t="s">
        <v>17</v>
      </c>
      <c r="B10" s="75" t="s">
        <v>44</v>
      </c>
      <c r="C10" s="33">
        <f>D10+E10</f>
        <v>45000</v>
      </c>
      <c r="D10" s="37">
        <f>40500</f>
        <v>40500</v>
      </c>
      <c r="E10" s="33">
        <f>4500</f>
        <v>4500</v>
      </c>
      <c r="F10" s="33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95">
        <v>0</v>
      </c>
      <c r="M10" s="71" t="s">
        <v>76</v>
      </c>
    </row>
    <row r="11" spans="1:13" s="28" customFormat="1" ht="73.5" customHeight="1" x14ac:dyDescent="0.25">
      <c r="A11" s="20" t="s">
        <v>39</v>
      </c>
      <c r="B11" s="75" t="s">
        <v>18</v>
      </c>
      <c r="C11" s="33">
        <f>D11+E11</f>
        <v>837.54100000000005</v>
      </c>
      <c r="D11" s="33">
        <v>0</v>
      </c>
      <c r="E11" s="33">
        <f>837.541</f>
        <v>837.54100000000005</v>
      </c>
      <c r="F11" s="33">
        <v>0</v>
      </c>
      <c r="G11" s="37">
        <f>I11+J11</f>
        <v>837.54100000000005</v>
      </c>
      <c r="H11" s="37">
        <v>0</v>
      </c>
      <c r="I11" s="37">
        <v>0</v>
      </c>
      <c r="J11" s="37">
        <f>837.541</f>
        <v>837.54100000000005</v>
      </c>
      <c r="K11" s="37">
        <f>G11</f>
        <v>837.54100000000005</v>
      </c>
      <c r="L11" s="37">
        <f>K11/(C11+F11)*100</f>
        <v>100</v>
      </c>
      <c r="M11" s="71" t="s">
        <v>62</v>
      </c>
    </row>
    <row r="12" spans="1:13" s="28" customFormat="1" ht="46.5" customHeight="1" x14ac:dyDescent="0.25">
      <c r="A12" s="20" t="s">
        <v>19</v>
      </c>
      <c r="B12" s="75" t="s">
        <v>20</v>
      </c>
      <c r="C12" s="33">
        <f>D12+E12</f>
        <v>3469.3369999999995</v>
      </c>
      <c r="D12" s="33">
        <v>861.2</v>
      </c>
      <c r="E12" s="33">
        <f>281.917+2215.743+110.477</f>
        <v>2608.1369999999997</v>
      </c>
      <c r="F12" s="33">
        <v>0</v>
      </c>
      <c r="G12" s="37">
        <f>J12+I12</f>
        <v>3450.0740000000001</v>
      </c>
      <c r="H12" s="37">
        <v>0</v>
      </c>
      <c r="I12" s="37">
        <v>857.17200000000003</v>
      </c>
      <c r="J12" s="37">
        <v>2592.902</v>
      </c>
      <c r="K12" s="37">
        <f>G12</f>
        <v>3450.0740000000001</v>
      </c>
      <c r="L12" s="37">
        <f>K12/(C12+F12)*100</f>
        <v>99.444764230168488</v>
      </c>
      <c r="M12" s="71" t="s">
        <v>63</v>
      </c>
    </row>
    <row r="13" spans="1:13" s="28" customFormat="1" ht="89.25" customHeight="1" x14ac:dyDescent="0.25">
      <c r="A13" s="76" t="s">
        <v>21</v>
      </c>
      <c r="B13" s="75" t="s">
        <v>35</v>
      </c>
      <c r="C13" s="33">
        <f>D13+E13</f>
        <v>23904.189000000002</v>
      </c>
      <c r="D13" s="33">
        <v>0</v>
      </c>
      <c r="E13" s="33">
        <f>754.775+23149.414</f>
        <v>23904.189000000002</v>
      </c>
      <c r="F13" s="33">
        <v>0</v>
      </c>
      <c r="G13" s="37">
        <f>I13+J13</f>
        <v>19024.254000000001</v>
      </c>
      <c r="H13" s="37">
        <v>0</v>
      </c>
      <c r="I13" s="37">
        <v>0</v>
      </c>
      <c r="J13" s="37">
        <f>19024.254</f>
        <v>19024.254000000001</v>
      </c>
      <c r="K13" s="37">
        <f>G13</f>
        <v>19024.254000000001</v>
      </c>
      <c r="L13" s="37">
        <f>K13/(C13+F13)*100</f>
        <v>79.585440024758839</v>
      </c>
      <c r="M13" s="38" t="s">
        <v>77</v>
      </c>
    </row>
    <row r="14" spans="1:13" s="28" customFormat="1" ht="69" customHeight="1" x14ac:dyDescent="0.25">
      <c r="A14" s="76" t="s">
        <v>56</v>
      </c>
      <c r="B14" s="75" t="s">
        <v>57</v>
      </c>
      <c r="C14" s="33">
        <f>D14+E14</f>
        <v>2000</v>
      </c>
      <c r="D14" s="33">
        <v>1800</v>
      </c>
      <c r="E14" s="33">
        <v>200</v>
      </c>
      <c r="F14" s="33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8" t="s">
        <v>61</v>
      </c>
    </row>
    <row r="15" spans="1:13" s="29" customFormat="1" ht="17.25" customHeight="1" x14ac:dyDescent="0.25">
      <c r="A15" s="39"/>
      <c r="B15" s="41" t="s">
        <v>22</v>
      </c>
      <c r="C15" s="40">
        <f t="shared" ref="C15:L15" si="1">SUM(C9:C14)</f>
        <v>125602.75900000001</v>
      </c>
      <c r="D15" s="40">
        <f t="shared" si="1"/>
        <v>88161.2</v>
      </c>
      <c r="E15" s="40">
        <f t="shared" si="1"/>
        <v>37441.559000000001</v>
      </c>
      <c r="F15" s="40">
        <f t="shared" si="1"/>
        <v>0</v>
      </c>
      <c r="G15" s="21">
        <f t="shared" si="1"/>
        <v>44956.129000000001</v>
      </c>
      <c r="H15" s="40">
        <f t="shared" si="1"/>
        <v>0</v>
      </c>
      <c r="I15" s="40">
        <f t="shared" si="1"/>
        <v>20219.499</v>
      </c>
      <c r="J15" s="40">
        <f t="shared" si="1"/>
        <v>24736.63</v>
      </c>
      <c r="K15" s="40">
        <f t="shared" si="1"/>
        <v>44956.129000000001</v>
      </c>
      <c r="L15" s="21">
        <f t="shared" si="1"/>
        <v>321.98224484130014</v>
      </c>
      <c r="M15" s="42"/>
    </row>
    <row r="16" spans="1:13" s="81" customFormat="1" ht="20.25" customHeight="1" x14ac:dyDescent="0.25">
      <c r="A16" s="79" t="s">
        <v>23</v>
      </c>
      <c r="B16" s="107" t="s">
        <v>40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80"/>
    </row>
    <row r="17" spans="1:16" s="28" customFormat="1" ht="108.75" customHeight="1" x14ac:dyDescent="0.25">
      <c r="A17" s="79" t="s">
        <v>73</v>
      </c>
      <c r="B17" s="48" t="s">
        <v>59</v>
      </c>
      <c r="C17" s="33">
        <v>0</v>
      </c>
      <c r="D17" s="33">
        <v>0</v>
      </c>
      <c r="E17" s="33">
        <v>0</v>
      </c>
      <c r="F17" s="33">
        <v>0</v>
      </c>
      <c r="G17" s="37">
        <v>0</v>
      </c>
      <c r="H17" s="33">
        <v>0</v>
      </c>
      <c r="I17" s="33">
        <v>0</v>
      </c>
      <c r="J17" s="33">
        <v>0</v>
      </c>
      <c r="K17" s="33">
        <v>0</v>
      </c>
      <c r="L17" s="37">
        <v>0</v>
      </c>
      <c r="M17" s="38" t="s">
        <v>67</v>
      </c>
    </row>
    <row r="18" spans="1:16" s="28" customFormat="1" ht="37.5" customHeight="1" x14ac:dyDescent="0.25">
      <c r="A18" s="79" t="s">
        <v>58</v>
      </c>
      <c r="B18" s="48" t="s">
        <v>72</v>
      </c>
      <c r="C18" s="33">
        <f>D18+E18</f>
        <v>380.86900000000003</v>
      </c>
      <c r="D18" s="33">
        <v>0</v>
      </c>
      <c r="E18" s="33">
        <f>380.869</f>
        <v>380.86900000000003</v>
      </c>
      <c r="F18" s="33">
        <v>0</v>
      </c>
      <c r="G18" s="37">
        <f>H18+I18+J18</f>
        <v>380.86900000000003</v>
      </c>
      <c r="H18" s="33">
        <v>0</v>
      </c>
      <c r="I18" s="33">
        <v>0</v>
      </c>
      <c r="J18" s="33">
        <f>380.869</f>
        <v>380.86900000000003</v>
      </c>
      <c r="K18" s="33">
        <f>G18</f>
        <v>380.86900000000003</v>
      </c>
      <c r="L18" s="37">
        <f>K18/(C18+F18)*100</f>
        <v>100</v>
      </c>
      <c r="M18" s="38" t="s">
        <v>75</v>
      </c>
    </row>
    <row r="19" spans="1:16" s="84" customFormat="1" x14ac:dyDescent="0.25">
      <c r="A19" s="82"/>
      <c r="B19" s="41" t="s">
        <v>36</v>
      </c>
      <c r="C19" s="40">
        <f>SUM(C17:C18)</f>
        <v>380.86900000000003</v>
      </c>
      <c r="D19" s="40">
        <f t="shared" ref="D19:L19" si="2">SUM(D17)</f>
        <v>0</v>
      </c>
      <c r="E19" s="40">
        <f>SUM(E17:E18)</f>
        <v>380.86900000000003</v>
      </c>
      <c r="F19" s="40">
        <f t="shared" si="2"/>
        <v>0</v>
      </c>
      <c r="G19" s="40">
        <f>SUM(G17:G18)</f>
        <v>380.86900000000003</v>
      </c>
      <c r="H19" s="40">
        <f t="shared" si="2"/>
        <v>0</v>
      </c>
      <c r="I19" s="40">
        <f t="shared" si="2"/>
        <v>0</v>
      </c>
      <c r="J19" s="40">
        <f>SUM(J17:J18)</f>
        <v>380.86900000000003</v>
      </c>
      <c r="K19" s="40">
        <f t="shared" si="2"/>
        <v>0</v>
      </c>
      <c r="L19" s="21">
        <f t="shared" si="2"/>
        <v>0</v>
      </c>
      <c r="M19" s="83"/>
    </row>
    <row r="20" spans="1:16" s="28" customFormat="1" ht="20.45" customHeight="1" x14ac:dyDescent="0.25">
      <c r="A20" s="82" t="s">
        <v>24</v>
      </c>
      <c r="B20" s="103" t="s">
        <v>41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</row>
    <row r="21" spans="1:16" s="7" customFormat="1" ht="20.45" customHeight="1" x14ac:dyDescent="0.25">
      <c r="A21" s="82"/>
      <c r="B21" s="103" t="s">
        <v>27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</row>
    <row r="22" spans="1:16" s="27" customFormat="1" ht="48.75" customHeight="1" x14ac:dyDescent="0.25">
      <c r="A22" s="87" t="s">
        <v>25</v>
      </c>
      <c r="B22" s="88" t="s">
        <v>29</v>
      </c>
      <c r="C22" s="33">
        <f>D22+E22</f>
        <v>243577.06</v>
      </c>
      <c r="D22" s="33">
        <f>236269.309</f>
        <v>236269.30900000001</v>
      </c>
      <c r="E22" s="33">
        <f>7307.751</f>
        <v>7307.7510000000002</v>
      </c>
      <c r="F22" s="33">
        <v>0</v>
      </c>
      <c r="G22" s="37">
        <f>H22+I22+J22</f>
        <v>242626.18299999999</v>
      </c>
      <c r="H22" s="33">
        <v>0</v>
      </c>
      <c r="I22" s="33">
        <f>235347.398</f>
        <v>235347.39799999999</v>
      </c>
      <c r="J22" s="33">
        <f>7278.785</f>
        <v>7278.7849999999999</v>
      </c>
      <c r="K22" s="33">
        <f>G22</f>
        <v>242626.18299999999</v>
      </c>
      <c r="L22" s="37">
        <f>K22/(C22+F22)*100</f>
        <v>99.609619641521249</v>
      </c>
      <c r="M22" s="71" t="s">
        <v>68</v>
      </c>
    </row>
    <row r="23" spans="1:16" s="27" customFormat="1" ht="67.5" customHeight="1" x14ac:dyDescent="0.25">
      <c r="A23" s="87" t="s">
        <v>52</v>
      </c>
      <c r="B23" s="88" t="s">
        <v>42</v>
      </c>
      <c r="C23" s="33">
        <f>D23+E23</f>
        <v>27092.2</v>
      </c>
      <c r="D23" s="33">
        <v>26279.200000000001</v>
      </c>
      <c r="E23" s="33">
        <v>813</v>
      </c>
      <c r="F23" s="33">
        <v>0</v>
      </c>
      <c r="G23" s="37">
        <f>H23+I23+J23</f>
        <v>5402.5420000000004</v>
      </c>
      <c r="H23" s="33">
        <v>0</v>
      </c>
      <c r="I23" s="33">
        <v>5240.4660000000003</v>
      </c>
      <c r="J23" s="33">
        <v>162.07599999999999</v>
      </c>
      <c r="K23" s="33">
        <f>G23</f>
        <v>5402.5420000000004</v>
      </c>
      <c r="L23" s="37">
        <f>K23/(C23+F23)*100</f>
        <v>19.941318903595871</v>
      </c>
      <c r="M23" s="71" t="s">
        <v>69</v>
      </c>
    </row>
    <row r="24" spans="1:16" s="29" customFormat="1" ht="15" customHeight="1" x14ac:dyDescent="0.25">
      <c r="A24" s="89"/>
      <c r="B24" s="41" t="s">
        <v>22</v>
      </c>
      <c r="C24" s="40">
        <f t="shared" ref="C24:K24" si="3">SUM(C22:C23)</f>
        <v>270669.26</v>
      </c>
      <c r="D24" s="40">
        <f t="shared" si="3"/>
        <v>262548.50900000002</v>
      </c>
      <c r="E24" s="40">
        <f t="shared" si="3"/>
        <v>8120.7510000000002</v>
      </c>
      <c r="F24" s="40">
        <f t="shared" si="3"/>
        <v>0</v>
      </c>
      <c r="G24" s="40">
        <f t="shared" si="3"/>
        <v>248028.72499999998</v>
      </c>
      <c r="H24" s="40">
        <f t="shared" si="3"/>
        <v>0</v>
      </c>
      <c r="I24" s="40">
        <f t="shared" si="3"/>
        <v>240587.864</v>
      </c>
      <c r="J24" s="40">
        <f t="shared" si="3"/>
        <v>7440.8609999999999</v>
      </c>
      <c r="K24" s="40">
        <f t="shared" si="3"/>
        <v>248028.72499999998</v>
      </c>
      <c r="L24" s="21">
        <f>SUM(L22:L23)</f>
        <v>119.55093854511712</v>
      </c>
      <c r="M24" s="40"/>
    </row>
    <row r="25" spans="1:16" s="29" customFormat="1" ht="18.95" customHeight="1" x14ac:dyDescent="0.25">
      <c r="A25" s="82" t="s">
        <v>26</v>
      </c>
      <c r="B25" s="107" t="s">
        <v>38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</row>
    <row r="26" spans="1:16" s="29" customFormat="1" ht="12" customHeight="1" x14ac:dyDescent="0.25">
      <c r="A26" s="82"/>
      <c r="B26" s="103" t="s">
        <v>31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</row>
    <row r="27" spans="1:16" s="28" customFormat="1" ht="82.5" customHeight="1" x14ac:dyDescent="0.2">
      <c r="A27" s="85" t="s">
        <v>28</v>
      </c>
      <c r="B27" s="86" t="s">
        <v>33</v>
      </c>
      <c r="C27" s="33">
        <f>D27+E27</f>
        <v>19685.400000000001</v>
      </c>
      <c r="D27" s="33">
        <v>19685.400000000001</v>
      </c>
      <c r="E27" s="33">
        <v>0</v>
      </c>
      <c r="F27" s="33">
        <v>0</v>
      </c>
      <c r="G27" s="37">
        <f>H27+I27+J27</f>
        <v>17703.276999999998</v>
      </c>
      <c r="H27" s="37">
        <v>0</v>
      </c>
      <c r="I27" s="37">
        <v>17703.276999999998</v>
      </c>
      <c r="J27" s="37">
        <v>0</v>
      </c>
      <c r="K27" s="37">
        <f>G27</f>
        <v>17703.276999999998</v>
      </c>
      <c r="L27" s="37">
        <f>K27/(C27+F27)*100</f>
        <v>89.930999624086866</v>
      </c>
      <c r="M27" s="93" t="s">
        <v>70</v>
      </c>
      <c r="N27" s="30"/>
      <c r="P27" s="30"/>
    </row>
    <row r="28" spans="1:16" s="29" customFormat="1" ht="13.5" customHeight="1" x14ac:dyDescent="0.25">
      <c r="A28" s="82"/>
      <c r="B28" s="41" t="s">
        <v>22</v>
      </c>
      <c r="C28" s="40">
        <f t="shared" ref="C28:K28" si="4">SUM(C27)</f>
        <v>19685.400000000001</v>
      </c>
      <c r="D28" s="40">
        <f t="shared" si="4"/>
        <v>19685.400000000001</v>
      </c>
      <c r="E28" s="40">
        <f t="shared" si="4"/>
        <v>0</v>
      </c>
      <c r="F28" s="40">
        <f t="shared" si="4"/>
        <v>0</v>
      </c>
      <c r="G28" s="40">
        <f t="shared" si="4"/>
        <v>17703.276999999998</v>
      </c>
      <c r="H28" s="40">
        <f t="shared" si="4"/>
        <v>0</v>
      </c>
      <c r="I28" s="40">
        <f t="shared" si="4"/>
        <v>17703.276999999998</v>
      </c>
      <c r="J28" s="40">
        <f t="shared" si="4"/>
        <v>0</v>
      </c>
      <c r="K28" s="40">
        <f t="shared" si="4"/>
        <v>17703.276999999998</v>
      </c>
      <c r="L28" s="21">
        <f>SUM(L27)</f>
        <v>89.930999624086866</v>
      </c>
      <c r="M28" s="38"/>
      <c r="P28" s="43"/>
    </row>
    <row r="29" spans="1:16" s="29" customFormat="1" ht="15" customHeight="1" x14ac:dyDescent="0.25">
      <c r="A29" s="85" t="s">
        <v>30</v>
      </c>
      <c r="B29" s="103" t="s">
        <v>45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5"/>
      <c r="P29" s="43"/>
    </row>
    <row r="30" spans="1:16" s="29" customFormat="1" ht="12.75" customHeight="1" x14ac:dyDescent="0.25">
      <c r="A30" s="85"/>
      <c r="B30" s="103" t="s">
        <v>49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  <c r="P30" s="43"/>
    </row>
    <row r="31" spans="1:16" s="29" customFormat="1" ht="77.25" customHeight="1" x14ac:dyDescent="0.25">
      <c r="A31" s="34" t="s">
        <v>32</v>
      </c>
      <c r="B31" s="72" t="s">
        <v>46</v>
      </c>
      <c r="C31" s="94">
        <f>D31+E31</f>
        <v>7495.1679999999997</v>
      </c>
      <c r="D31" s="90">
        <v>5923.3</v>
      </c>
      <c r="E31" s="90">
        <f>1260.068+311.8</f>
        <v>1571.8679999999999</v>
      </c>
      <c r="F31" s="94">
        <v>0</v>
      </c>
      <c r="G31" s="94">
        <f>I31+J31</f>
        <v>1260.068</v>
      </c>
      <c r="H31" s="94">
        <v>0</v>
      </c>
      <c r="I31" s="94">
        <v>0</v>
      </c>
      <c r="J31" s="94">
        <v>1260.068</v>
      </c>
      <c r="K31" s="94">
        <f>G31</f>
        <v>1260.068</v>
      </c>
      <c r="L31" s="95">
        <f>K31/(C31+F31)*100</f>
        <v>16.81173790901018</v>
      </c>
      <c r="M31" s="73" t="s">
        <v>64</v>
      </c>
      <c r="P31" s="43"/>
    </row>
    <row r="32" spans="1:16" s="29" customFormat="1" ht="62.25" customHeight="1" x14ac:dyDescent="0.25">
      <c r="A32" s="34" t="s">
        <v>43</v>
      </c>
      <c r="B32" s="72" t="s">
        <v>47</v>
      </c>
      <c r="C32" s="94">
        <f>D32+E32</f>
        <v>2745.3029999999999</v>
      </c>
      <c r="D32" s="90">
        <v>1791.4</v>
      </c>
      <c r="E32" s="90">
        <v>953.90300000000002</v>
      </c>
      <c r="F32" s="94">
        <v>0</v>
      </c>
      <c r="G32" s="94">
        <f>I32+J32</f>
        <v>2745.26</v>
      </c>
      <c r="H32" s="94">
        <v>0</v>
      </c>
      <c r="I32" s="94">
        <v>1791.357</v>
      </c>
      <c r="J32" s="94">
        <v>953.90300000000002</v>
      </c>
      <c r="K32" s="94">
        <f>G32</f>
        <v>2745.26</v>
      </c>
      <c r="L32" s="95">
        <f>K32/(C32+F32)*100</f>
        <v>99.998433688376124</v>
      </c>
      <c r="M32" s="73" t="s">
        <v>65</v>
      </c>
      <c r="P32" s="43"/>
    </row>
    <row r="33" spans="1:21" s="29" customFormat="1" ht="92.25" customHeight="1" x14ac:dyDescent="0.25">
      <c r="A33" s="34" t="s">
        <v>53</v>
      </c>
      <c r="B33" s="72" t="s">
        <v>48</v>
      </c>
      <c r="C33" s="94">
        <f>D33+E33</f>
        <v>8292.518</v>
      </c>
      <c r="D33" s="90">
        <v>6536</v>
      </c>
      <c r="E33" s="90">
        <f>1412.518+344</f>
        <v>1756.518</v>
      </c>
      <c r="F33" s="95">
        <v>0</v>
      </c>
      <c r="G33" s="94">
        <f>I33+J33</f>
        <v>8292.518</v>
      </c>
      <c r="H33" s="95">
        <v>0</v>
      </c>
      <c r="I33" s="95">
        <v>6536</v>
      </c>
      <c r="J33" s="94">
        <v>1756.518</v>
      </c>
      <c r="K33" s="94">
        <f>G33</f>
        <v>8292.518</v>
      </c>
      <c r="L33" s="95">
        <f>K33/(C33+F33)*100</f>
        <v>100</v>
      </c>
      <c r="M33" s="73" t="s">
        <v>66</v>
      </c>
      <c r="P33" s="43"/>
    </row>
    <row r="34" spans="1:21" s="29" customFormat="1" ht="13.5" customHeight="1" x14ac:dyDescent="0.25">
      <c r="A34" s="45"/>
      <c r="B34" s="63" t="s">
        <v>22</v>
      </c>
      <c r="C34" s="62">
        <f>SUM(C31:C33)</f>
        <v>18532.989000000001</v>
      </c>
      <c r="D34" s="62">
        <f t="shared" ref="D34:K34" si="5">SUM(D31:D33)</f>
        <v>14250.7</v>
      </c>
      <c r="E34" s="62">
        <f t="shared" si="5"/>
        <v>4282.2889999999998</v>
      </c>
      <c r="F34" s="62">
        <f t="shared" si="5"/>
        <v>0</v>
      </c>
      <c r="G34" s="62">
        <f t="shared" si="5"/>
        <v>12297.846000000001</v>
      </c>
      <c r="H34" s="62">
        <f t="shared" si="5"/>
        <v>0</v>
      </c>
      <c r="I34" s="62">
        <f t="shared" si="5"/>
        <v>8327.357</v>
      </c>
      <c r="J34" s="62">
        <f t="shared" si="5"/>
        <v>3970.489</v>
      </c>
      <c r="K34" s="62">
        <f t="shared" si="5"/>
        <v>12297.846000000001</v>
      </c>
      <c r="L34" s="47">
        <f>SUM(L31:L33)</f>
        <v>216.8101715973863</v>
      </c>
      <c r="M34" s="46"/>
      <c r="P34" s="43"/>
    </row>
    <row r="35" spans="1:21" s="29" customFormat="1" ht="13.5" customHeight="1" x14ac:dyDescent="0.25">
      <c r="A35" s="49" t="s">
        <v>54</v>
      </c>
      <c r="B35" s="100" t="s">
        <v>50</v>
      </c>
      <c r="C35" s="101"/>
      <c r="D35" s="101"/>
      <c r="E35" s="101"/>
      <c r="F35" s="101"/>
      <c r="G35" s="102"/>
      <c r="H35" s="50"/>
      <c r="I35" s="51"/>
      <c r="J35" s="52"/>
      <c r="K35" s="52"/>
      <c r="L35" s="52"/>
      <c r="M35" s="53"/>
      <c r="N35" s="57"/>
      <c r="O35" s="57"/>
      <c r="P35" s="57"/>
      <c r="Q35" s="57"/>
      <c r="R35" s="57"/>
      <c r="S35" s="57"/>
      <c r="T35" s="57"/>
      <c r="U35" s="58"/>
    </row>
    <row r="36" spans="1:21" s="56" customFormat="1" ht="43.5" customHeight="1" x14ac:dyDescent="0.25">
      <c r="A36" s="54" t="s">
        <v>55</v>
      </c>
      <c r="B36" s="55" t="s">
        <v>51</v>
      </c>
      <c r="C36" s="90">
        <f>SUM(D36+E36)</f>
        <v>9985.2980000000007</v>
      </c>
      <c r="D36" s="90">
        <v>0</v>
      </c>
      <c r="E36" s="90">
        <v>9985.2980000000007</v>
      </c>
      <c r="F36" s="69">
        <v>0</v>
      </c>
      <c r="G36" s="90">
        <f>I36+J36</f>
        <v>9985.2980000000007</v>
      </c>
      <c r="H36" s="70">
        <v>0</v>
      </c>
      <c r="I36" s="69">
        <v>0</v>
      </c>
      <c r="J36" s="33">
        <v>9985.2980000000007</v>
      </c>
      <c r="K36" s="33">
        <v>9985.2999999999993</v>
      </c>
      <c r="L36" s="69">
        <f>K36/(C36+F36)*100</f>
        <v>100.00002002944728</v>
      </c>
      <c r="M36" s="99" t="s">
        <v>74</v>
      </c>
      <c r="N36" s="59"/>
      <c r="O36" s="59"/>
      <c r="P36" s="59"/>
      <c r="Q36" s="59"/>
      <c r="R36" s="59"/>
      <c r="S36" s="59"/>
      <c r="T36" s="59"/>
      <c r="U36" s="60"/>
    </row>
    <row r="37" spans="1:21" s="68" customFormat="1" ht="13.5" customHeight="1" x14ac:dyDescent="0.25">
      <c r="A37" s="64"/>
      <c r="B37" s="65" t="s">
        <v>22</v>
      </c>
      <c r="C37" s="91">
        <f>SUM(C36)</f>
        <v>9985.2980000000007</v>
      </c>
      <c r="D37" s="91">
        <f>SUM(D36)</f>
        <v>0</v>
      </c>
      <c r="E37" s="91">
        <f>SUM(E36:E36)</f>
        <v>9985.2980000000007</v>
      </c>
      <c r="F37" s="77">
        <v>0</v>
      </c>
      <c r="G37" s="91">
        <f>SUM(G36)</f>
        <v>9985.2980000000007</v>
      </c>
      <c r="H37" s="97">
        <v>0</v>
      </c>
      <c r="I37" s="98">
        <v>0</v>
      </c>
      <c r="J37" s="98">
        <f>SUM(J36:J36)</f>
        <v>9985.2980000000007</v>
      </c>
      <c r="K37" s="98">
        <f>SUM(K36:K36)</f>
        <v>9985.2999999999993</v>
      </c>
      <c r="L37" s="98">
        <f>SUM(L36)</f>
        <v>100.00002002944728</v>
      </c>
      <c r="M37" s="66"/>
      <c r="N37" s="61"/>
      <c r="O37" s="61"/>
      <c r="P37" s="67"/>
      <c r="Q37" s="67"/>
      <c r="R37" s="67"/>
      <c r="S37" s="61"/>
      <c r="T37" s="61"/>
      <c r="U37" s="61"/>
    </row>
    <row r="38" spans="1:21" s="44" customFormat="1" ht="14.25" customHeight="1" x14ac:dyDescent="0.25">
      <c r="A38" s="34"/>
      <c r="B38" s="18" t="s">
        <v>34</v>
      </c>
      <c r="C38" s="21">
        <f>C15+C19+C24+C28+C34+C37</f>
        <v>444856.57500000007</v>
      </c>
      <c r="D38" s="21">
        <f>D15+D19+D24+D28+D34+D37</f>
        <v>384645.80900000007</v>
      </c>
      <c r="E38" s="21">
        <f>E15+E19+E24+E28+E34+E37</f>
        <v>60210.766000000003</v>
      </c>
      <c r="F38" s="78">
        <v>0</v>
      </c>
      <c r="G38" s="78">
        <f>G15+G19+G24+G28+G34+G37</f>
        <v>333352.14400000003</v>
      </c>
      <c r="H38" s="78">
        <f>SUM(H15+H19+H24+H28+H34+H37)</f>
        <v>0</v>
      </c>
      <c r="I38" s="78">
        <f>I15+I19+I24+I28+I34+I37</f>
        <v>286837.99700000003</v>
      </c>
      <c r="J38" s="78">
        <f>J15+J19+J24+J28+J34+J37</f>
        <v>46514.147000000004</v>
      </c>
      <c r="K38" s="78">
        <f>K15+K19+K24+K28+K34+K37</f>
        <v>332971.277</v>
      </c>
      <c r="L38" s="21">
        <f t="shared" ref="L38" si="6">K38/(C38+F38)*100</f>
        <v>74.849130194377807</v>
      </c>
      <c r="M38" s="19"/>
    </row>
    <row r="39" spans="1:21" s="7" customFormat="1" x14ac:dyDescent="0.25">
      <c r="C39" s="8"/>
      <c r="D39" s="35">
        <v>4</v>
      </c>
      <c r="E39" s="12">
        <v>21178.449089999998</v>
      </c>
      <c r="F39" s="12"/>
      <c r="G39" s="96">
        <f>SUM(G36:G37)</f>
        <v>19970.596000000001</v>
      </c>
      <c r="H39" s="13"/>
      <c r="I39" s="13">
        <v>33102.812140000002</v>
      </c>
      <c r="J39" s="13">
        <v>10102.64313</v>
      </c>
      <c r="K39" s="13"/>
    </row>
    <row r="40" spans="1:21" x14ac:dyDescent="0.25">
      <c r="C40" s="3"/>
      <c r="D40" s="14">
        <v>44440</v>
      </c>
      <c r="E40" s="14">
        <f>E39-E38</f>
        <v>-39032.316910000009</v>
      </c>
      <c r="F40" s="15"/>
      <c r="G40" s="16"/>
      <c r="H40" s="17"/>
      <c r="I40" s="14">
        <f>I39-I38</f>
        <v>-253735.18486000004</v>
      </c>
      <c r="J40" s="14">
        <f>J39-J38</f>
        <v>-36411.50387</v>
      </c>
      <c r="K40" s="16"/>
    </row>
    <row r="41" spans="1:21" x14ac:dyDescent="0.25">
      <c r="C41" s="36"/>
      <c r="D41" s="9"/>
      <c r="E41" s="10"/>
      <c r="J41" s="11"/>
    </row>
    <row r="42" spans="1:21" x14ac:dyDescent="0.25">
      <c r="B42" s="11"/>
      <c r="C42" s="9"/>
      <c r="D42" s="9"/>
      <c r="E42" s="9"/>
    </row>
  </sheetData>
  <mergeCells count="21"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  <mergeCell ref="M5:M6"/>
    <mergeCell ref="B35:G35"/>
    <mergeCell ref="B20:M20"/>
    <mergeCell ref="B8:M8"/>
    <mergeCell ref="B21:M21"/>
    <mergeCell ref="B16:L16"/>
    <mergeCell ref="B29:M29"/>
    <mergeCell ref="B30:M30"/>
    <mergeCell ref="B25:M25"/>
    <mergeCell ref="B26:M26"/>
  </mergeCells>
  <phoneticPr fontId="5" type="noConversion"/>
  <pageMargins left="0.59055118110236227" right="0" top="0.19685039370078741" bottom="0.19685039370078741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2022-01-31T05:54:53Z</dcterms:modified>
</cp:coreProperties>
</file>